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defaultThemeVersion="124226"/>
  <mc:AlternateContent xmlns:mc="http://schemas.openxmlformats.org/markup-compatibility/2006">
    <mc:Choice Requires="x15">
      <x15ac:absPath xmlns:x15ac="http://schemas.microsoft.com/office/spreadsheetml/2010/11/ac" url="M:\CHAUFFAGE\Informations produits\Logiciel et fiche de calcul\TransTherm\dimensionnement GSWT\"/>
    </mc:Choice>
  </mc:AlternateContent>
  <xr:revisionPtr revIDLastSave="0" documentId="10_ncr:100000_{A67612FF-FCDF-4A44-9112-075ED488E476}" xr6:coauthVersionLast="31" xr6:coauthVersionMax="31" xr10:uidLastSave="{00000000-0000-0000-0000-000000000000}"/>
  <workbookProtection workbookAlgorithmName="SHA-512" workbookHashValue="mnEpn7ApOYbE1pgCgt3gue/yJen5I4gU+Ca86GgFDd/1n6rEQw21NR+neI8IJl0JVUXSFUWio3+QxWP/rzljqg==" workbookSaltValue="CdG7v3MyWvj4egqnOgd40w==" workbookSpinCount="100000" lockStructure="1"/>
  <bookViews>
    <workbookView xWindow="0" yWindow="0" windowWidth="23040" windowHeight="9075" firstSheet="4" activeTab="9" xr2:uid="{00000000-000D-0000-FFFF-FFFF00000000}"/>
  </bookViews>
  <sheets>
    <sheet name="RESTAURATION" sheetId="12" state="hidden" r:id="rId1"/>
    <sheet name="calcul restauration" sheetId="13" state="hidden" r:id="rId2"/>
    <sheet name="HOTEL" sheetId="10" state="hidden" r:id="rId3"/>
    <sheet name="calcul hotel" sheetId="14" state="hidden" r:id="rId4"/>
    <sheet name="DOUCHES COLLECTIVES" sheetId="8" r:id="rId5"/>
    <sheet name="calcul douches collectives" sheetId="9" state="hidden" r:id="rId6"/>
    <sheet name="CAMPING" sheetId="6" state="hidden" r:id="rId7"/>
    <sheet name="calcul camping" sheetId="7" state="hidden" r:id="rId8"/>
    <sheet name="calculs camping2" sheetId="17" state="hidden" r:id="rId9"/>
    <sheet name="MAISON DE RETRAITE" sheetId="15" r:id="rId10"/>
    <sheet name="calcul maison de retraite" sheetId="16" state="hidden" r:id="rId11"/>
    <sheet name="bases" sheetId="11" state="hidden" r:id="rId12"/>
    <sheet name="LOGEMENTS COLLECTIFS" sheetId="2" r:id="rId13"/>
    <sheet name="RESULTATS" sheetId="5" state="hidden" r:id="rId14"/>
    <sheet name="calcul" sheetId="1" state="hidden" r:id="rId15"/>
    <sheet name="Feuil1" sheetId="3" state="hidden" r:id="rId16"/>
  </sheets>
  <calcPr calcId="179017"/>
</workbook>
</file>

<file path=xl/calcChain.xml><?xml version="1.0" encoding="utf-8"?>
<calcChain xmlns="http://schemas.openxmlformats.org/spreadsheetml/2006/main">
  <c r="F29" i="10" l="1"/>
  <c r="F30" i="10" s="1"/>
  <c r="B31" i="10"/>
  <c r="B30" i="10"/>
  <c r="B19" i="10"/>
  <c r="B15" i="15"/>
  <c r="F11" i="10"/>
  <c r="C27" i="10"/>
  <c r="C26" i="10"/>
  <c r="C25" i="10"/>
  <c r="C24" i="10"/>
  <c r="C23" i="10"/>
  <c r="C22" i="10"/>
  <c r="C21" i="10"/>
  <c r="B21" i="10"/>
  <c r="A20" i="8" l="1"/>
  <c r="C17" i="15"/>
  <c r="B17" i="15"/>
  <c r="F25" i="15"/>
  <c r="B27" i="15"/>
  <c r="B26" i="15"/>
  <c r="E9" i="15"/>
  <c r="F28" i="15" l="1"/>
  <c r="F26" i="15"/>
  <c r="F27" i="15"/>
  <c r="M13" i="16"/>
  <c r="P13" i="16" s="1"/>
  <c r="N52" i="16" l="1"/>
  <c r="N19" i="16" l="1"/>
  <c r="N24" i="16" s="1"/>
  <c r="O24" i="16" s="1"/>
  <c r="U71" i="16" s="1"/>
  <c r="V71" i="16" s="1"/>
  <c r="Y71" i="16" s="1"/>
  <c r="N20" i="16"/>
  <c r="S29" i="16" l="1"/>
  <c r="N71" i="16"/>
  <c r="O71" i="16" s="1"/>
  <c r="P71" i="16" s="1"/>
  <c r="Q71" i="16" s="1"/>
  <c r="R71" i="16" s="1"/>
  <c r="N25" i="16"/>
  <c r="O25" i="16" s="1"/>
  <c r="S51" i="16" s="1"/>
  <c r="N26" i="16"/>
  <c r="N29" i="16" s="1"/>
  <c r="G4" i="2"/>
  <c r="N51" i="16" l="1"/>
  <c r="Q33" i="16"/>
  <c r="Q34" i="16" s="1"/>
  <c r="N30" i="16"/>
  <c r="G22" i="2"/>
  <c r="G23" i="2" s="1"/>
  <c r="B23" i="2"/>
  <c r="B24" i="2"/>
  <c r="G25" i="2" l="1"/>
  <c r="G24" i="2"/>
  <c r="N55" i="16"/>
  <c r="N58" i="16" s="1"/>
  <c r="N44" i="16"/>
  <c r="Q44" i="16" s="1"/>
  <c r="N40" i="16"/>
  <c r="N43" i="16"/>
  <c r="Q43" i="16" s="1"/>
  <c r="N39" i="16"/>
  <c r="V51" i="16" s="1"/>
  <c r="N42" i="16"/>
  <c r="Q42" i="16" s="1"/>
  <c r="N41" i="16"/>
  <c r="Q41" i="16" s="1"/>
  <c r="S33" i="16"/>
  <c r="N33" i="16"/>
  <c r="N34" i="16" s="1"/>
  <c r="N67" i="16"/>
  <c r="N56" i="16" l="1"/>
  <c r="I27" i="15"/>
  <c r="Q39" i="16"/>
  <c r="R39" i="16"/>
  <c r="B18" i="15" s="1"/>
  <c r="V52" i="16"/>
  <c r="N68" i="16"/>
  <c r="R40" i="16"/>
  <c r="B19" i="15" s="1"/>
  <c r="Q40" i="16"/>
  <c r="D8" i="13"/>
  <c r="U39" i="16" l="1"/>
  <c r="N78" i="16"/>
  <c r="N79" i="16" s="1"/>
  <c r="W51" i="16"/>
  <c r="R41" i="16"/>
  <c r="B20" i="15" s="1"/>
  <c r="V53" i="16"/>
  <c r="U40" i="16"/>
  <c r="T40" i="16" s="1"/>
  <c r="W52" i="16"/>
  <c r="V54" i="16"/>
  <c r="B8" i="13"/>
  <c r="D11" i="13"/>
  <c r="T39" i="16" l="1"/>
  <c r="C18" i="15" s="1"/>
  <c r="C19" i="15"/>
  <c r="U41" i="16"/>
  <c r="T41" i="16" s="1"/>
  <c r="C20" i="15" s="1"/>
  <c r="W53" i="16"/>
  <c r="V55" i="16"/>
  <c r="R42" i="16"/>
  <c r="B21" i="15" s="1"/>
  <c r="A19" i="6"/>
  <c r="A18" i="6"/>
  <c r="C50" i="17"/>
  <c r="H49" i="17"/>
  <c r="U42" i="16" l="1"/>
  <c r="T42" i="16" s="1"/>
  <c r="C21" i="15" s="1"/>
  <c r="W54" i="16"/>
  <c r="R43" i="16"/>
  <c r="B22" i="15" s="1"/>
  <c r="D9" i="17"/>
  <c r="D5" i="17"/>
  <c r="D11" i="17" s="1"/>
  <c r="D45" i="16"/>
  <c r="C15" i="15"/>
  <c r="R44" i="16" l="1"/>
  <c r="B23" i="15" s="1"/>
  <c r="V56" i="16"/>
  <c r="U43" i="16"/>
  <c r="T43" i="16" s="1"/>
  <c r="C22" i="15" s="1"/>
  <c r="W55" i="16"/>
  <c r="I28" i="15"/>
  <c r="D14" i="17"/>
  <c r="F32" i="10"/>
  <c r="D45" i="14"/>
  <c r="U44" i="16" l="1"/>
  <c r="T44" i="16" s="1"/>
  <c r="C23" i="15" s="1"/>
  <c r="W56" i="16"/>
  <c r="W39" i="16" s="1"/>
  <c r="F31" i="10"/>
  <c r="D18" i="17"/>
  <c r="C37" i="17"/>
  <c r="G12" i="2"/>
  <c r="G13" i="2"/>
  <c r="C26" i="15" l="1"/>
  <c r="V39" i="16"/>
  <c r="C27" i="15" s="1"/>
  <c r="B18" i="6"/>
  <c r="D21" i="17"/>
  <c r="C7" i="7"/>
  <c r="D24" i="17" l="1"/>
  <c r="C30" i="17"/>
  <c r="D30" i="17" s="1"/>
  <c r="E30" i="17" s="1"/>
  <c r="F30" i="17" s="1"/>
  <c r="C38" i="17" s="1"/>
  <c r="D7" i="16"/>
  <c r="B19" i="6" l="1"/>
  <c r="C49" i="17"/>
  <c r="C53" i="17" s="1"/>
  <c r="C54" i="17" s="1"/>
  <c r="D27" i="17"/>
  <c r="B20" i="6" s="1"/>
  <c r="P46" i="1"/>
  <c r="P38" i="1"/>
  <c r="P15" i="1"/>
  <c r="C12" i="1"/>
  <c r="A12" i="1"/>
  <c r="C11" i="1"/>
  <c r="A11" i="1"/>
  <c r="C10" i="1"/>
  <c r="A10" i="1"/>
  <c r="C9" i="1"/>
  <c r="A9" i="1"/>
  <c r="C8" i="1"/>
  <c r="A8" i="1"/>
  <c r="P7" i="1"/>
  <c r="F24" i="1" s="1"/>
  <c r="C7" i="1"/>
  <c r="A7" i="1"/>
  <c r="L25" i="5"/>
  <c r="B25" i="5"/>
  <c r="D5" i="5"/>
  <c r="B15" i="2"/>
  <c r="G11" i="2"/>
  <c r="G10" i="2"/>
  <c r="D10" i="16"/>
  <c r="D12" i="16" s="1"/>
  <c r="C53" i="7"/>
  <c r="C16" i="7"/>
  <c r="C17" i="7" s="1"/>
  <c r="C13" i="7"/>
  <c r="C14" i="7" s="1"/>
  <c r="F7" i="7"/>
  <c r="F13" i="7" s="1"/>
  <c r="F14" i="7" s="1"/>
  <c r="E7" i="7"/>
  <c r="E16" i="7" s="1"/>
  <c r="E17" i="7" s="1"/>
  <c r="D7" i="7"/>
  <c r="D13" i="7" s="1"/>
  <c r="D14" i="7" s="1"/>
  <c r="A25" i="6"/>
  <c r="A24" i="6"/>
  <c r="E23" i="6"/>
  <c r="A20" i="6"/>
  <c r="B51" i="9"/>
  <c r="B14" i="9"/>
  <c r="B13" i="9"/>
  <c r="B12" i="9"/>
  <c r="B16" i="9" s="1"/>
  <c r="A27" i="8"/>
  <c r="A26" i="8"/>
  <c r="E25" i="8"/>
  <c r="E27" i="8" s="1"/>
  <c r="A22" i="8"/>
  <c r="A21" i="8"/>
  <c r="D12" i="14"/>
  <c r="F12" i="14" s="1"/>
  <c r="D11" i="14"/>
  <c r="D15" i="14" s="1"/>
  <c r="D7" i="14"/>
  <c r="D15" i="13"/>
  <c r="B53" i="9" l="1"/>
  <c r="B54" i="9" s="1"/>
  <c r="D13" i="16"/>
  <c r="D17" i="16" s="1"/>
  <c r="D9" i="14"/>
  <c r="D17" i="14" s="1"/>
  <c r="D29" i="14" s="1"/>
  <c r="E29" i="14" s="1"/>
  <c r="H29" i="14" s="1"/>
  <c r="B19" i="9"/>
  <c r="B22" i="9" s="1"/>
  <c r="B20" i="8" s="1"/>
  <c r="E24" i="6"/>
  <c r="H26" i="6"/>
  <c r="E26" i="6"/>
  <c r="E25" i="6"/>
  <c r="H25" i="6"/>
  <c r="C42" i="17"/>
  <c r="B24" i="6" s="1"/>
  <c r="C32" i="17"/>
  <c r="D32" i="17" s="1"/>
  <c r="E32" i="17" s="1"/>
  <c r="F32" i="17" s="1"/>
  <c r="I32" i="17" s="1"/>
  <c r="F16" i="7"/>
  <c r="F17" i="7" s="1"/>
  <c r="E13" i="7"/>
  <c r="E14" i="7" s="1"/>
  <c r="C23" i="7" s="1"/>
  <c r="D16" i="7"/>
  <c r="D17" i="7" s="1"/>
  <c r="C26" i="7" s="1"/>
  <c r="E26" i="8"/>
  <c r="E28" i="8"/>
  <c r="D11" i="1"/>
  <c r="D8" i="1"/>
  <c r="D10" i="1"/>
  <c r="D12" i="1"/>
  <c r="D9" i="1"/>
  <c r="A13" i="1"/>
  <c r="I12" i="1" s="1"/>
  <c r="D7" i="1"/>
  <c r="D15" i="16"/>
  <c r="D24" i="16"/>
  <c r="F18" i="1" l="1"/>
  <c r="I44" i="16"/>
  <c r="D48" i="16" s="1"/>
  <c r="D31" i="16"/>
  <c r="B26" i="9"/>
  <c r="B39" i="9" s="1"/>
  <c r="I17" i="14"/>
  <c r="I44" i="14" s="1"/>
  <c r="D48" i="14" s="1"/>
  <c r="D19" i="16"/>
  <c r="D44" i="16"/>
  <c r="C43" i="17"/>
  <c r="B25" i="6" s="1"/>
  <c r="C33" i="7"/>
  <c r="D33" i="7" s="1"/>
  <c r="E33" i="7" s="1"/>
  <c r="F33" i="7" s="1"/>
  <c r="C24" i="7"/>
  <c r="C28" i="7" s="1"/>
  <c r="H52" i="7"/>
  <c r="C56" i="7" s="1"/>
  <c r="C57" i="7" s="1"/>
  <c r="C52" i="7"/>
  <c r="C30" i="7"/>
  <c r="C47" i="7" s="1"/>
  <c r="C48" i="7" s="1"/>
  <c r="C19" i="10"/>
  <c r="D18" i="14"/>
  <c r="D20" i="14" s="1"/>
  <c r="D27" i="14"/>
  <c r="E27" i="14" s="1"/>
  <c r="F27" i="14" s="1"/>
  <c r="G27" i="14" s="1"/>
  <c r="B24" i="9"/>
  <c r="B31" i="9"/>
  <c r="B15" i="1"/>
  <c r="I13" i="1" s="1"/>
  <c r="E24" i="16"/>
  <c r="F24" i="16" s="1"/>
  <c r="G24" i="16" s="1"/>
  <c r="N28" i="14" l="1"/>
  <c r="N41" i="14" s="1"/>
  <c r="B27" i="10" s="1"/>
  <c r="N24" i="14"/>
  <c r="N37" i="14" s="1"/>
  <c r="B23" i="10" s="1"/>
  <c r="N27" i="14"/>
  <c r="N40" i="14" s="1"/>
  <c r="B26" i="10" s="1"/>
  <c r="N23" i="14"/>
  <c r="N36" i="14" s="1"/>
  <c r="B22" i="10" s="1"/>
  <c r="N26" i="14"/>
  <c r="N39" i="14" s="1"/>
  <c r="B25" i="10" s="1"/>
  <c r="N25" i="14"/>
  <c r="N38" i="14" s="1"/>
  <c r="B24" i="10" s="1"/>
  <c r="D37" i="16"/>
  <c r="D32" i="16"/>
  <c r="D49" i="16"/>
  <c r="D26" i="16"/>
  <c r="E26" i="16" s="1"/>
  <c r="F26" i="16" s="1"/>
  <c r="G26" i="16" s="1"/>
  <c r="J26" i="16" s="1"/>
  <c r="C41" i="7"/>
  <c r="C35" i="7"/>
  <c r="D35" i="7" s="1"/>
  <c r="E35" i="7" s="1"/>
  <c r="F35" i="7" s="1"/>
  <c r="I35" i="7" s="1"/>
  <c r="D35" i="14"/>
  <c r="D36" i="14" s="1"/>
  <c r="C31" i="9"/>
  <c r="D31" i="9" s="1"/>
  <c r="E31" i="9" s="1"/>
  <c r="B40" i="9" s="1"/>
  <c r="B50" i="9"/>
  <c r="B28" i="9"/>
  <c r="B22" i="8" s="1"/>
  <c r="G50" i="9"/>
  <c r="B21" i="8"/>
  <c r="G18" i="1"/>
  <c r="F22" i="1" s="1"/>
  <c r="G22" i="1" s="1"/>
  <c r="F19" i="1"/>
  <c r="B16" i="1"/>
  <c r="F15" i="1" s="1"/>
  <c r="D38" i="16" l="1"/>
  <c r="M40" i="14"/>
  <c r="P52" i="14" s="1"/>
  <c r="M36" i="14"/>
  <c r="M38" i="14"/>
  <c r="P50" i="14" s="1"/>
  <c r="M37" i="14"/>
  <c r="P49" i="14" s="1"/>
  <c r="M39" i="14"/>
  <c r="P51" i="14" s="1"/>
  <c r="M41" i="14"/>
  <c r="P53" i="14" s="1"/>
  <c r="D49" i="14"/>
  <c r="I31" i="10" s="1"/>
  <c r="I32" i="10"/>
  <c r="L14" i="5"/>
  <c r="P40" i="1"/>
  <c r="F20" i="1"/>
  <c r="L16" i="5" s="1"/>
  <c r="C42" i="7"/>
  <c r="B55" i="9"/>
  <c r="H28" i="8" s="1"/>
  <c r="H27" i="8"/>
  <c r="B45" i="9"/>
  <c r="B26" i="8" s="1"/>
  <c r="B33" i="9"/>
  <c r="G19" i="1"/>
  <c r="L15" i="5" s="1"/>
  <c r="B12" i="5"/>
  <c r="H10" i="2" s="1"/>
  <c r="P9" i="1"/>
  <c r="P11" i="1" s="1"/>
  <c r="B18" i="1"/>
  <c r="F25" i="1" s="1"/>
  <c r="P41" i="1" l="1"/>
  <c r="P44" i="1"/>
  <c r="T46" i="1" s="1"/>
  <c r="P48" i="14"/>
  <c r="Q41" i="14"/>
  <c r="P41" i="14" s="1"/>
  <c r="Q53" i="14"/>
  <c r="Q36" i="14"/>
  <c r="P36" i="14" s="1"/>
  <c r="Q48" i="14"/>
  <c r="Q49" i="14"/>
  <c r="Q37" i="14"/>
  <c r="P37" i="14" s="1"/>
  <c r="Q50" i="14"/>
  <c r="Q38" i="14"/>
  <c r="P38" i="14" s="1"/>
  <c r="Q40" i="14"/>
  <c r="P40" i="14" s="1"/>
  <c r="Q52" i="14"/>
  <c r="Q39" i="14"/>
  <c r="P39" i="14" s="1"/>
  <c r="Q51" i="14"/>
  <c r="J18" i="1"/>
  <c r="P42" i="1"/>
  <c r="J19" i="1"/>
  <c r="O18" i="5" s="1"/>
  <c r="C33" i="9"/>
  <c r="D33" i="9" s="1"/>
  <c r="E33" i="9" s="1"/>
  <c r="H33" i="9" s="1"/>
  <c r="B46" i="9" s="1"/>
  <c r="B27" i="8" s="1"/>
  <c r="B30" i="1"/>
  <c r="C30" i="1" s="1"/>
  <c r="P10" i="1"/>
  <c r="B14" i="5"/>
  <c r="H11" i="2" s="1"/>
  <c r="B19" i="1"/>
  <c r="B15" i="5" s="1"/>
  <c r="H12" i="2" s="1"/>
  <c r="B20" i="1"/>
  <c r="B25" i="1" s="1"/>
  <c r="P13" i="1"/>
  <c r="T15" i="1" s="1"/>
  <c r="T47" i="1" l="1"/>
  <c r="I38" i="1"/>
  <c r="L20" i="5" s="1"/>
  <c r="L18" i="5"/>
  <c r="S36" i="14"/>
  <c r="R36" i="14" s="1"/>
  <c r="D41" i="14" s="1"/>
  <c r="C31" i="10" s="1"/>
  <c r="B16" i="5"/>
  <c r="I52" i="1"/>
  <c r="J22" i="1"/>
  <c r="K22" i="1" s="1"/>
  <c r="B27" i="1"/>
  <c r="B28" i="5"/>
  <c r="P20" i="1"/>
  <c r="B30" i="5" s="1"/>
  <c r="H25" i="1"/>
  <c r="B18" i="5"/>
  <c r="H13" i="2" s="1"/>
  <c r="B38" i="1"/>
  <c r="I39" i="1" l="1"/>
  <c r="L21" i="5" s="1"/>
  <c r="D40" i="14"/>
  <c r="C30" i="10" s="1"/>
  <c r="F30" i="1"/>
  <c r="G30" i="1" s="1"/>
  <c r="B52" i="1"/>
  <c r="F20" i="5" s="1"/>
  <c r="F18" i="5"/>
  <c r="I53" i="1"/>
  <c r="O21" i="5" s="1"/>
  <c r="O20" i="5"/>
  <c r="B39" i="1"/>
  <c r="B21" i="5" s="1"/>
  <c r="C24" i="2" s="1"/>
  <c r="B20" i="5"/>
  <c r="C23" i="2" l="1"/>
  <c r="P51" i="1"/>
  <c r="L30" i="5" s="1"/>
  <c r="H25" i="2" s="1"/>
  <c r="L28" i="5"/>
  <c r="H24" i="2" s="1"/>
  <c r="B53" i="1"/>
  <c r="F21"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Soares Roméo</author>
  </authors>
  <commentList>
    <comment ref="A50" authorId="0" shapeId="0" xr:uid="{00000000-0006-0000-0500-000001000000}">
      <text>
        <r>
          <rPr>
            <b/>
            <sz val="9"/>
            <color indexed="81"/>
            <rFont val="Tahoma"/>
            <family val="2"/>
          </rPr>
          <t>Soares Roméo:</t>
        </r>
        <r>
          <rPr>
            <sz val="9"/>
            <color indexed="81"/>
            <rFont val="Tahoma"/>
            <family val="2"/>
          </rPr>
          <t xml:space="preserve">
non utilisé</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Soares Roméo</author>
  </authors>
  <commentList>
    <comment ref="E49" authorId="0" shapeId="0" xr:uid="{00000000-0006-0000-0800-000001000000}">
      <text>
        <r>
          <rPr>
            <b/>
            <sz val="9"/>
            <color indexed="81"/>
            <rFont val="Tahoma"/>
            <family val="2"/>
          </rPr>
          <t>Soares Roméo:</t>
        </r>
        <r>
          <rPr>
            <sz val="9"/>
            <color indexed="81"/>
            <rFont val="Tahoma"/>
            <family val="2"/>
          </rPr>
          <t xml:space="preserve">
no pris en compte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Soares Roméo</author>
  </authors>
  <commentList>
    <comment ref="F44" authorId="0" shapeId="0" xr:uid="{00000000-0006-0000-0A00-000001000000}">
      <text>
        <r>
          <rPr>
            <b/>
            <sz val="9"/>
            <color indexed="81"/>
            <rFont val="Tahoma"/>
            <family val="2"/>
          </rPr>
          <t>Soares Roméo:</t>
        </r>
        <r>
          <rPr>
            <sz val="9"/>
            <color indexed="81"/>
            <rFont val="Tahoma"/>
            <family val="2"/>
          </rPr>
          <t xml:space="preserve">
no pris en compte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Soares Roméo</author>
  </authors>
  <commentList>
    <comment ref="S15" authorId="0" shapeId="0" xr:uid="{00000000-0006-0000-0E00-000001000000}">
      <text>
        <r>
          <rPr>
            <b/>
            <sz val="9"/>
            <color indexed="81"/>
            <rFont val="Tahoma"/>
            <family val="2"/>
          </rPr>
          <t>Soares Roméo:</t>
        </r>
        <r>
          <rPr>
            <sz val="9"/>
            <color indexed="81"/>
            <rFont val="Tahoma"/>
            <family val="2"/>
          </rPr>
          <t xml:space="preserve">
revoir le calcul</t>
        </r>
      </text>
    </comment>
    <comment ref="S46" authorId="0" shapeId="0" xr:uid="{00000000-0006-0000-0E00-000002000000}">
      <text>
        <r>
          <rPr>
            <b/>
            <sz val="9"/>
            <color indexed="81"/>
            <rFont val="Tahoma"/>
            <family val="2"/>
          </rPr>
          <t>Soares Roméo:</t>
        </r>
        <r>
          <rPr>
            <sz val="9"/>
            <color indexed="81"/>
            <rFont val="Tahoma"/>
            <family val="2"/>
          </rPr>
          <t xml:space="preserve">
revoir le calcul</t>
        </r>
      </text>
    </comment>
  </commentList>
</comments>
</file>

<file path=xl/sharedStrings.xml><?xml version="1.0" encoding="utf-8"?>
<sst xmlns="http://schemas.openxmlformats.org/spreadsheetml/2006/main" count="571" uniqueCount="200">
  <si>
    <t>s</t>
  </si>
  <si>
    <t>BECS (*pour 1 appart standard) à 60 °C) en L</t>
  </si>
  <si>
    <t>Puissance inst en Kw</t>
  </si>
  <si>
    <t>Delt T en °</t>
  </si>
  <si>
    <t>BECS L/min à 60°C</t>
  </si>
  <si>
    <t>Nbre de logement</t>
  </si>
  <si>
    <t>DESIGNATION</t>
  </si>
  <si>
    <t>Coef correctif</t>
  </si>
  <si>
    <t>N par logement</t>
  </si>
  <si>
    <t>studio avec lavabos</t>
  </si>
  <si>
    <t>2 pièces avec douches</t>
  </si>
  <si>
    <t>3 pièces avec baignoires</t>
  </si>
  <si>
    <t>4 pièces avec baignoires</t>
  </si>
  <si>
    <t>5 pièces avec baign+ douches</t>
  </si>
  <si>
    <t>6 pièces avec 2 baignoires</t>
  </si>
  <si>
    <t>N total</t>
  </si>
  <si>
    <t>Delta T voulu</t>
  </si>
  <si>
    <t>Vol Tampon 1aire en L</t>
  </si>
  <si>
    <t>BECS 10 min à 60°C en L</t>
  </si>
  <si>
    <t>BECS  HORAIRE (*pour 1 appart standard) à 60 °C) en L</t>
  </si>
  <si>
    <t>Volume = 2x BECS Horaire en L au delta t</t>
  </si>
  <si>
    <t>Volume tampon souhaiter en L</t>
  </si>
  <si>
    <t>donnée de base</t>
  </si>
  <si>
    <t>5 pièces avec baignoires + douches</t>
  </si>
  <si>
    <t>BECS 10 min en L</t>
  </si>
  <si>
    <t>BECS horaire au Delta T voulue en L</t>
  </si>
  <si>
    <t>BECS L/min au Delta T voulue en L</t>
  </si>
  <si>
    <t>Transtherm</t>
  </si>
  <si>
    <t>TRANSTHERM</t>
  </si>
  <si>
    <t>Enerval</t>
  </si>
  <si>
    <t>200 L</t>
  </si>
  <si>
    <t>300 L</t>
  </si>
  <si>
    <t>500 L</t>
  </si>
  <si>
    <t>800 L</t>
  </si>
  <si>
    <t>1000 L</t>
  </si>
  <si>
    <t>1500 L</t>
  </si>
  <si>
    <t>2000 L</t>
  </si>
  <si>
    <t>2500 L</t>
  </si>
  <si>
    <t>table  choix  ballon primaire</t>
  </si>
  <si>
    <t>Parc social</t>
  </si>
  <si>
    <t>AICVF</t>
  </si>
  <si>
    <t>Parc Privée</t>
  </si>
  <si>
    <t>BECS (*pour 1 appart standard) à 60 °C) en L                                               EF à 10 °C</t>
  </si>
  <si>
    <t>BECS  HORAIRE (*pour 1 appart standard) à 60 °C) en L                               EF à 10 °C</t>
  </si>
  <si>
    <r>
      <t xml:space="preserve">BECS 10 min à </t>
    </r>
    <r>
      <rPr>
        <sz val="10"/>
        <color theme="1"/>
        <rFont val="Calibri"/>
        <family val="2"/>
      </rPr>
      <t>ΔT 50</t>
    </r>
    <r>
      <rPr>
        <sz val="10"/>
        <color theme="1"/>
        <rFont val="Calibri"/>
        <family val="2"/>
        <scheme val="minor"/>
      </rPr>
      <t>°C en L</t>
    </r>
  </si>
  <si>
    <t>BECS L/min à ΔT 50°C</t>
  </si>
  <si>
    <t>Puissance inst en Kw ΔT 50°C</t>
  </si>
  <si>
    <t>table choix coef correctif</t>
  </si>
  <si>
    <t>Calcul Puissance d'appel</t>
  </si>
  <si>
    <t>Debit primaire en m3/h</t>
  </si>
  <si>
    <t>INSTANTANEE</t>
  </si>
  <si>
    <t>SEMI -INSTANTANEE</t>
  </si>
  <si>
    <t>Puissance semi-inst en Kw</t>
  </si>
  <si>
    <t>Puissance semi inst en Kw ΔT 50°C</t>
  </si>
  <si>
    <t>table  choix  ballon secondaire</t>
  </si>
  <si>
    <t>Combival E</t>
  </si>
  <si>
    <t>Type de production</t>
  </si>
  <si>
    <t>table de choix type production</t>
  </si>
  <si>
    <t>Instantanée</t>
  </si>
  <si>
    <t>Semi Instantanée</t>
  </si>
  <si>
    <t>Volume tampon souhaité en L</t>
  </si>
  <si>
    <t>Delta T en °</t>
  </si>
  <si>
    <t>Materiels Proposés</t>
  </si>
  <si>
    <t>Choisir la production</t>
  </si>
  <si>
    <t>Données</t>
  </si>
  <si>
    <t>Puissance d'appel en kW</t>
  </si>
  <si>
    <t>2*1500 L</t>
  </si>
  <si>
    <t>2*2000 L</t>
  </si>
  <si>
    <t>3*2000 L</t>
  </si>
  <si>
    <t>Capacité ballon tampon en L primaire</t>
  </si>
  <si>
    <t>Capacité ballon tampon en L secondaire</t>
  </si>
  <si>
    <t>type résidence /  méthode</t>
  </si>
  <si>
    <t>Matériels Proposés</t>
  </si>
  <si>
    <t>N.B/ Blocs sanitaire temporisés</t>
  </si>
  <si>
    <t>Nbre emplacements</t>
  </si>
  <si>
    <t>Linges</t>
  </si>
  <si>
    <t xml:space="preserve"> Vaisselles</t>
  </si>
  <si>
    <t>LAVABOS</t>
  </si>
  <si>
    <t>DOUCHES</t>
  </si>
  <si>
    <t>type de production</t>
  </si>
  <si>
    <t>CAMPING</t>
  </si>
  <si>
    <t>Débit primaire en m3/h</t>
  </si>
  <si>
    <t>Puissance d'appel (en kW)</t>
  </si>
  <si>
    <t>Vol tampon souhaité en L</t>
  </si>
  <si>
    <t>Vol = 1,5x BECS Horraire en L</t>
  </si>
  <si>
    <t>Vol = 2x BECS Horraire en L</t>
  </si>
  <si>
    <t>CALCUL PUISSANCE D'APPEL</t>
  </si>
  <si>
    <t>CombiVal E</t>
  </si>
  <si>
    <t>TransTherm</t>
  </si>
  <si>
    <t>SEMI INSTANTANEE</t>
  </si>
  <si>
    <t>EnerVal</t>
  </si>
  <si>
    <t>Capacité ballon tampon secondaire en L recalculé</t>
  </si>
  <si>
    <t>Capacité ballon tampon secondaire en L</t>
  </si>
  <si>
    <t>Capacité ballon tampon primaire en L</t>
  </si>
  <si>
    <t>Puissance semi Inst en Kw</t>
  </si>
  <si>
    <t>Puissance Inst en Kw</t>
  </si>
  <si>
    <t>BECS totale L/min à Delta T 50 °C</t>
  </si>
  <si>
    <t>BECS totale 10 min en L à Delta T 50 °C</t>
  </si>
  <si>
    <t>BECS horaire  en L à Delta T 50 °C</t>
  </si>
  <si>
    <t>BECS horaire en L</t>
  </si>
  <si>
    <t>BECS 10 min en L à Delta T 50 °C</t>
  </si>
  <si>
    <t>Cs</t>
  </si>
  <si>
    <t xml:space="preserve">Delta T </t>
  </si>
  <si>
    <t>BECS en L</t>
  </si>
  <si>
    <t>Nbre passages / h</t>
  </si>
  <si>
    <t>Nbre</t>
  </si>
  <si>
    <t>standard</t>
  </si>
  <si>
    <t xml:space="preserve">  type  robineterie</t>
  </si>
  <si>
    <t>DOUCHES COLLECTIVES</t>
  </si>
  <si>
    <t>HOTEL</t>
  </si>
  <si>
    <t>Temporisé</t>
  </si>
  <si>
    <t>choisir type robinet</t>
  </si>
  <si>
    <t>100 L</t>
  </si>
  <si>
    <t>choix robineterie</t>
  </si>
  <si>
    <t>Delta T</t>
  </si>
  <si>
    <t>BECS (en L)</t>
  </si>
  <si>
    <t>Nbres de couverts / service</t>
  </si>
  <si>
    <t>RESTAURATION</t>
  </si>
  <si>
    <t>table choix de méthode</t>
  </si>
  <si>
    <t>Standard</t>
  </si>
  <si>
    <t>choix de profil</t>
  </si>
  <si>
    <t>BECS 10 min à 60°C en L ADEME</t>
  </si>
  <si>
    <t>INSTANTANEE  STANDARD</t>
  </si>
  <si>
    <t>INSTANTANEE ADEME</t>
  </si>
  <si>
    <t>SEMI -INSTANTANEE ADEME</t>
  </si>
  <si>
    <t>Calcul Puissance d'appel STANDARD</t>
  </si>
  <si>
    <t>Calcul Puissance d'appel ADEME</t>
  </si>
  <si>
    <t>ADEME</t>
  </si>
  <si>
    <t>durée de service en min</t>
  </si>
  <si>
    <t>table de choix restauration</t>
  </si>
  <si>
    <t>Luxe</t>
  </si>
  <si>
    <t>type d'hotel</t>
  </si>
  <si>
    <t>nbre d'étoiles</t>
  </si>
  <si>
    <t>table de choix type hotel</t>
  </si>
  <si>
    <t>tourisme</t>
  </si>
  <si>
    <t>affaire</t>
  </si>
  <si>
    <t>montagne</t>
  </si>
  <si>
    <t>table de choix nbre étoile</t>
  </si>
  <si>
    <t>nbr de chambre</t>
  </si>
  <si>
    <t>Nbre de chambres</t>
  </si>
  <si>
    <t>table de choix nbre etoiles hotel</t>
  </si>
  <si>
    <t>table de choix classes hotel</t>
  </si>
  <si>
    <t>coef</t>
  </si>
  <si>
    <t xml:space="preserve"> nbre étoile</t>
  </si>
  <si>
    <t>classe</t>
  </si>
  <si>
    <t>BECS  par chambre en L à Delta 50°C</t>
  </si>
  <si>
    <t>Débit 10 min en L Delta T 50°C</t>
  </si>
  <si>
    <t>Débit en L/min Delta T 50°C</t>
  </si>
  <si>
    <t>BECS L/min à Delta T 50 °C</t>
  </si>
  <si>
    <t>MAISON DE RETRAITE</t>
  </si>
  <si>
    <t>Débit 10 min en l Delta T 50</t>
  </si>
  <si>
    <t>Débit 10 min en L Delta T 45°C</t>
  </si>
  <si>
    <t>Débit horaire en L Delta T 50°C</t>
  </si>
  <si>
    <t>BECS Horaire à ΔT 50°C en L</t>
  </si>
  <si>
    <t>BECS Horaire à 60°C</t>
  </si>
  <si>
    <t>BECS Horaire à 60°C ADEME</t>
  </si>
  <si>
    <t xml:space="preserve">METHODE CALCUL A REVOIR </t>
  </si>
  <si>
    <t>BECS en L/ min</t>
  </si>
  <si>
    <t>Nbr Logt normaux simultanés</t>
  </si>
  <si>
    <t>N total (méthode hoval)</t>
  </si>
  <si>
    <t>n total (méthode hoval)</t>
  </si>
  <si>
    <t>Hoval</t>
  </si>
  <si>
    <t>Vol = 2x BECS Horaire en L</t>
  </si>
  <si>
    <t>Valeur retenue</t>
  </si>
  <si>
    <t>BECS L/min à Delta T 50°C</t>
  </si>
  <si>
    <t>BECS 10 min en L à Delta T 50°C</t>
  </si>
  <si>
    <t>BECS horaire en L à Delta T 50°C</t>
  </si>
  <si>
    <t>rapide</t>
  </si>
  <si>
    <t>collective</t>
  </si>
  <si>
    <t xml:space="preserve">durée du service en min </t>
  </si>
  <si>
    <t>facteur corectif 1</t>
  </si>
  <si>
    <t>facteur corectif 2</t>
  </si>
  <si>
    <t>PBR PUISSANCE APPEL</t>
  </si>
  <si>
    <t>méthode sakkarah</t>
  </si>
  <si>
    <t>N.B : Les préconisations sont données à titre indicatif pour une estimation d’avant-projet.
Elles s'appuient sur différentes publications professionnelles, entres autres, les recommandations AICVF, ainsi que sur notre expérience dans le domaine.Elles n'excluent en rien un travail plus détaillé ou un contrôle par un BE spécialisé. Les résultats qui en découlent ne sauraient en aucun cas engager la responsabilité de Hoval.</t>
  </si>
  <si>
    <t>méthode base Guillot</t>
  </si>
  <si>
    <t>correction Puissance inst en Kw</t>
  </si>
  <si>
    <t>Puissance  semi inst en Kw</t>
  </si>
  <si>
    <t>correction Puissance semi inst en Kw</t>
  </si>
  <si>
    <t>vol</t>
  </si>
  <si>
    <t>Modèle sur la base des F2 méthode Hoval -20 %</t>
  </si>
  <si>
    <t>vol tampon</t>
  </si>
  <si>
    <t>Puissance Inst</t>
  </si>
  <si>
    <t>vol tampon
pour affichage</t>
  </si>
  <si>
    <t>Aqua L Affichage</t>
  </si>
  <si>
    <t>CombiVal Affichage</t>
  </si>
  <si>
    <t>CombiVal proposé</t>
  </si>
  <si>
    <t>Aqua L proposé</t>
  </si>
  <si>
    <t>Puissance semi  Inst
pour affichage</t>
  </si>
  <si>
    <t>pour maison de retraite
table  choix  ballon secondaire</t>
  </si>
  <si>
    <t>Vol = 1,3x BECS Horraire en L</t>
  </si>
  <si>
    <t>ratio calculé sur méthode Guillot 0,21 kW/L voir 0,2</t>
  </si>
  <si>
    <t>ratio calculé sur méthode Guillot 0,21 kW/L voir 0,208</t>
  </si>
  <si>
    <t>AFFICH vol tampon</t>
  </si>
  <si>
    <t>Volume = 3x BECS 10 min</t>
  </si>
  <si>
    <t>PUISSANCE APPEL</t>
  </si>
  <si>
    <t>P</t>
  </si>
  <si>
    <t>p</t>
  </si>
  <si>
    <t>puissance d'appel</t>
  </si>
  <si>
    <t xml:space="preserve">Puissance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</si>
</sst>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4" x14ac:knownFonts="1">
    <font>
      <sz val="11"/>
      <color theme="1"/>
      <name val="Calibri"/>
      <family val="2"/>
      <scheme val="minor"/>
    </font>
    <font>
      <sz val="10"/>
      <color theme="1"/>
      <name val="Calibri"/>
      <family val="2"/>
      <scheme val="minor"/>
    </font>
    <font>
      <sz val="10"/>
      <name val="Calibri"/>
      <family val="2"/>
      <scheme val="minor"/>
    </font>
    <font>
      <i/>
      <sz val="10"/>
      <color theme="0" tint="-0.499984740745262"/>
      <name val="Calibri"/>
      <family val="2"/>
      <scheme val="minor"/>
    </font>
    <font>
      <i/>
      <sz val="11"/>
      <color theme="0" tint="-0.499984740745262"/>
      <name val="Calibri"/>
      <family val="2"/>
      <scheme val="minor"/>
    </font>
    <font>
      <sz val="10"/>
      <color rgb="FFFF0000"/>
      <name val="Calibri"/>
      <family val="2"/>
      <scheme val="minor"/>
    </font>
    <font>
      <i/>
      <sz val="10"/>
      <color theme="1"/>
      <name val="Calibri"/>
      <family val="2"/>
      <scheme val="minor"/>
    </font>
    <font>
      <sz val="10"/>
      <color rgb="FF00B0F0"/>
      <name val="Calibri"/>
      <family val="2"/>
      <scheme val="minor"/>
    </font>
    <font>
      <sz val="11"/>
      <color rgb="FF00B0F0"/>
      <name val="Calibri"/>
      <family val="2"/>
      <scheme val="minor"/>
    </font>
    <font>
      <sz val="9"/>
      <color rgb="FF00B0F0"/>
      <name val="Calibri"/>
      <family val="2"/>
      <scheme val="minor"/>
    </font>
    <font>
      <sz val="11"/>
      <color theme="0" tint="-0.499984740745262"/>
      <name val="Calibri"/>
      <family val="2"/>
      <scheme val="minor"/>
    </font>
    <font>
      <sz val="10"/>
      <color theme="0" tint="-0.499984740745262"/>
      <name val="Calibri"/>
      <family val="2"/>
      <scheme val="minor"/>
    </font>
    <font>
      <sz val="10"/>
      <color theme="1"/>
      <name val="Calibri"/>
      <family val="2"/>
    </font>
    <font>
      <i/>
      <sz val="10"/>
      <color rgb="FFFF0000"/>
      <name val="Calibri"/>
      <family val="2"/>
      <scheme val="minor"/>
    </font>
    <font>
      <b/>
      <sz val="11"/>
      <color theme="0" tint="-0.499984740745262"/>
      <name val="Calibri"/>
      <family val="2"/>
      <scheme val="minor"/>
    </font>
    <font>
      <sz val="9"/>
      <color indexed="81"/>
      <name val="Tahoma"/>
      <family val="2"/>
    </font>
    <font>
      <b/>
      <sz val="9"/>
      <color indexed="81"/>
      <name val="Tahoma"/>
      <family val="2"/>
    </font>
    <font>
      <sz val="10"/>
      <color rgb="FF00B050"/>
      <name val="Calibri"/>
      <family val="2"/>
      <scheme val="minor"/>
    </font>
    <font>
      <sz val="11"/>
      <color rgb="FF00B050"/>
      <name val="Calibri"/>
      <family val="2"/>
      <scheme val="minor"/>
    </font>
    <font>
      <b/>
      <sz val="11"/>
      <name val="Calibri"/>
      <family val="2"/>
      <scheme val="minor"/>
    </font>
    <font>
      <sz val="8"/>
      <color rgb="FF00B0F0"/>
      <name val="Calibri"/>
      <family val="2"/>
      <scheme val="minor"/>
    </font>
    <font>
      <sz val="8"/>
      <color rgb="FF00B050"/>
      <name val="Calibri"/>
      <family val="2"/>
      <scheme val="minor"/>
    </font>
    <font>
      <sz val="9"/>
      <color theme="1"/>
      <name val="Calibri"/>
      <family val="2"/>
      <scheme val="minor"/>
    </font>
    <font>
      <sz val="9"/>
      <color rgb="FFFF0000"/>
      <name val="Calibri"/>
      <family val="2"/>
      <scheme val="minor"/>
    </font>
    <font>
      <b/>
      <sz val="9"/>
      <color theme="1"/>
      <name val="Calibri"/>
      <family val="2"/>
      <scheme val="minor"/>
    </font>
    <font>
      <sz val="9"/>
      <name val="Calibri"/>
      <family val="2"/>
      <scheme val="minor"/>
    </font>
    <font>
      <sz val="9"/>
      <color theme="0"/>
      <name val="Calibri"/>
      <family val="2"/>
      <scheme val="minor"/>
    </font>
    <font>
      <i/>
      <sz val="9"/>
      <color theme="0"/>
      <name val="Calibri"/>
      <family val="2"/>
      <scheme val="minor"/>
    </font>
    <font>
      <i/>
      <sz val="9"/>
      <color theme="0" tint="-0.499984740745262"/>
      <name val="Calibri"/>
      <family val="2"/>
      <scheme val="minor"/>
    </font>
    <font>
      <i/>
      <sz val="9"/>
      <color rgb="FFFF0000"/>
      <name val="Calibri"/>
      <family val="2"/>
      <scheme val="minor"/>
    </font>
    <font>
      <sz val="8"/>
      <color theme="1"/>
      <name val="Calibri"/>
      <family val="2"/>
      <scheme val="minor"/>
    </font>
    <font>
      <sz val="10"/>
      <name val="Arial"/>
      <family val="2"/>
    </font>
    <font>
      <sz val="10"/>
      <color rgb="FFFF0000"/>
      <name val="Arial"/>
      <family val="2"/>
    </font>
    <font>
      <sz val="9"/>
      <name val="Arial"/>
      <family val="2"/>
    </font>
    <font>
      <b/>
      <sz val="10"/>
      <name val="Arial"/>
      <family val="2"/>
    </font>
    <font>
      <sz val="10"/>
      <color rgb="FF00B0F0"/>
      <name val="Arial"/>
      <family val="2"/>
    </font>
    <font>
      <sz val="8"/>
      <name val="Arial"/>
      <family val="2"/>
    </font>
    <font>
      <sz val="10"/>
      <color theme="0" tint="-0.34998626667073579"/>
      <name val="Arial"/>
      <family val="2"/>
    </font>
    <font>
      <sz val="10"/>
      <name val="Arial"/>
      <family val="2"/>
    </font>
    <font>
      <sz val="10"/>
      <color indexed="48"/>
      <name val="Arial"/>
      <family val="2"/>
    </font>
    <font>
      <sz val="8"/>
      <color indexed="48"/>
      <name val="Arial"/>
      <family val="2"/>
    </font>
    <font>
      <b/>
      <sz val="10"/>
      <color theme="0" tint="-0.34998626667073579"/>
      <name val="Calibri"/>
      <family val="2"/>
      <scheme val="minor"/>
    </font>
    <font>
      <b/>
      <sz val="10"/>
      <color rgb="FFFFC000"/>
      <name val="Calibri"/>
      <family val="2"/>
      <scheme val="minor"/>
    </font>
    <font>
      <b/>
      <sz val="11"/>
      <color rgb="FFFFC000"/>
      <name val="Calibri"/>
      <family val="2"/>
      <scheme val="minor"/>
    </font>
    <font>
      <sz val="11"/>
      <color rgb="FFFF0000"/>
      <name val="Calibri"/>
      <family val="2"/>
      <scheme val="minor"/>
    </font>
    <font>
      <sz val="11"/>
      <name val="Calibri"/>
      <family val="2"/>
      <scheme val="minor"/>
    </font>
    <font>
      <sz val="11"/>
      <color theme="0" tint="-0.34998626667073579"/>
      <name val="Calibri"/>
      <family val="2"/>
      <scheme val="minor"/>
    </font>
    <font>
      <sz val="10"/>
      <color theme="0" tint="-0.499984740745262"/>
      <name val="Arial"/>
      <family val="2"/>
    </font>
    <font>
      <b/>
      <sz val="10"/>
      <color rgb="FFC00000"/>
      <name val="Arial"/>
      <family val="2"/>
    </font>
    <font>
      <b/>
      <sz val="11"/>
      <color rgb="FFC00000"/>
      <name val="Calibri"/>
      <family val="2"/>
      <scheme val="minor"/>
    </font>
    <font>
      <sz val="10"/>
      <color rgb="FFFFC000"/>
      <name val="Calibri"/>
      <family val="2"/>
      <scheme val="minor"/>
    </font>
    <font>
      <i/>
      <sz val="10"/>
      <color theme="0" tint="-0.34998626667073579"/>
      <name val="Arial"/>
      <family val="2"/>
    </font>
    <font>
      <i/>
      <sz val="11"/>
      <color theme="1"/>
      <name val="Calibri"/>
      <family val="2"/>
      <scheme val="minor"/>
    </font>
    <font>
      <i/>
      <sz val="10"/>
      <color rgb="FF00B0F0"/>
      <name val="Arial"/>
      <family val="2"/>
    </font>
    <font>
      <b/>
      <i/>
      <sz val="10"/>
      <color theme="0" tint="-0.34998626667073579"/>
      <name val="Calibri"/>
      <family val="2"/>
      <scheme val="minor"/>
    </font>
    <font>
      <b/>
      <i/>
      <sz val="11"/>
      <color theme="0" tint="-0.34998626667073579"/>
      <name val="Calibri"/>
      <family val="2"/>
      <scheme val="minor"/>
    </font>
    <font>
      <i/>
      <sz val="11"/>
      <color theme="0"/>
      <name val="Calibri"/>
      <family val="2"/>
      <scheme val="minor"/>
    </font>
    <font>
      <i/>
      <sz val="10"/>
      <color theme="0"/>
      <name val="Arial"/>
      <family val="2"/>
    </font>
    <font>
      <sz val="10"/>
      <color theme="1"/>
      <name val="Arial"/>
      <family val="2"/>
    </font>
    <font>
      <sz val="11"/>
      <color theme="1"/>
      <name val="Arial"/>
      <family val="2"/>
    </font>
    <font>
      <i/>
      <sz val="11"/>
      <color theme="0" tint="-0.34998626667073579"/>
      <name val="Calibri"/>
      <family val="2"/>
      <scheme val="minor"/>
    </font>
    <font>
      <i/>
      <sz val="8"/>
      <color theme="1"/>
      <name val="Calibri"/>
      <family val="2"/>
      <scheme val="minor"/>
    </font>
    <font>
      <i/>
      <sz val="9"/>
      <name val="Calibri"/>
      <family val="2"/>
      <scheme val="minor"/>
    </font>
    <font>
      <i/>
      <sz val="8"/>
      <name val="Arial"/>
      <family val="2"/>
    </font>
    <font>
      <i/>
      <sz val="8"/>
      <name val="Calibri"/>
      <family val="2"/>
      <scheme val="minor"/>
    </font>
    <font>
      <sz val="8"/>
      <color theme="0"/>
      <name val="Calibri"/>
      <family val="2"/>
      <scheme val="minor"/>
    </font>
    <font>
      <b/>
      <u/>
      <sz val="10"/>
      <name val="Arial"/>
      <family val="2"/>
    </font>
    <font>
      <i/>
      <sz val="11"/>
      <color rgb="FFFF0000"/>
      <name val="Calibri"/>
      <family val="2"/>
      <scheme val="minor"/>
    </font>
    <font>
      <sz val="8"/>
      <color rgb="FFFF0000"/>
      <name val="Arial"/>
      <family val="2"/>
    </font>
    <font>
      <sz val="8"/>
      <color rgb="FFFF0000"/>
      <name val="Calibri"/>
      <family val="2"/>
      <scheme val="minor"/>
    </font>
    <font>
      <i/>
      <sz val="8"/>
      <color theme="0"/>
      <name val="Arial"/>
      <family val="2"/>
    </font>
    <font>
      <i/>
      <sz val="8"/>
      <color theme="0"/>
      <name val="Calibri"/>
      <family val="2"/>
      <scheme val="minor"/>
    </font>
    <font>
      <i/>
      <sz val="10"/>
      <name val="Arial"/>
      <family val="2"/>
    </font>
    <font>
      <i/>
      <sz val="10"/>
      <color rgb="FFFF0000"/>
      <name val="Arial"/>
      <family val="2"/>
    </font>
  </fonts>
  <fills count="19">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F0000"/>
        <bgColor indexed="64"/>
      </patternFill>
    </fill>
    <fill>
      <patternFill patternType="solid">
        <fgColor rgb="FF00B050"/>
        <bgColor indexed="64"/>
      </patternFill>
    </fill>
    <fill>
      <patternFill patternType="solid">
        <fgColor rgb="FF00B0F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8"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s>
  <cellStyleXfs count="3">
    <xf numFmtId="0" fontId="0" fillId="0" borderId="0"/>
    <xf numFmtId="0" fontId="31" fillId="0" borderId="0"/>
    <xf numFmtId="0" fontId="38" fillId="0" borderId="0"/>
  </cellStyleXfs>
  <cellXfs count="541">
    <xf numFmtId="0" fontId="0" fillId="0" borderId="0" xfId="0"/>
    <xf numFmtId="0" fontId="0" fillId="0" borderId="0" xfId="0" applyAlignment="1">
      <alignment wrapText="1"/>
    </xf>
    <xf numFmtId="0" fontId="1" fillId="0" borderId="0" xfId="0" applyFont="1" applyAlignment="1">
      <alignment wrapText="1"/>
    </xf>
    <xf numFmtId="0" fontId="1" fillId="0" borderId="1" xfId="0" applyFont="1" applyBorder="1" applyAlignment="1">
      <alignment wrapText="1"/>
    </xf>
    <xf numFmtId="0" fontId="1" fillId="0" borderId="1" xfId="0" applyFont="1" applyFill="1" applyBorder="1" applyAlignment="1">
      <alignment horizontal="center" vertical="center" wrapText="1"/>
    </xf>
    <xf numFmtId="0" fontId="1" fillId="0" borderId="1" xfId="0" applyFont="1" applyFill="1" applyBorder="1" applyAlignment="1">
      <alignment wrapText="1"/>
    </xf>
    <xf numFmtId="2" fontId="1" fillId="0" borderId="1" xfId="0" applyNumberFormat="1" applyFont="1" applyFill="1" applyBorder="1" applyAlignment="1">
      <alignment wrapText="1"/>
    </xf>
    <xf numFmtId="0" fontId="1" fillId="0" borderId="0" xfId="0" applyFont="1" applyAlignment="1">
      <alignment horizontal="left" wrapText="1"/>
    </xf>
    <xf numFmtId="2" fontId="1" fillId="0" borderId="0" xfId="0" applyNumberFormat="1" applyFont="1" applyAlignment="1">
      <alignment wrapText="1"/>
    </xf>
    <xf numFmtId="0" fontId="1" fillId="0" borderId="1" xfId="0" applyFont="1" applyBorder="1" applyAlignment="1">
      <alignment horizontal="left" wrapText="1"/>
    </xf>
    <xf numFmtId="2" fontId="1" fillId="0" borderId="1" xfId="0" applyNumberFormat="1" applyFont="1" applyBorder="1" applyAlignment="1">
      <alignment wrapText="1"/>
    </xf>
    <xf numFmtId="0" fontId="1" fillId="0" borderId="1" xfId="0" applyFont="1" applyFill="1" applyBorder="1" applyAlignment="1">
      <alignment horizontal="left" wrapText="1"/>
    </xf>
    <xf numFmtId="0" fontId="1" fillId="0" borderId="1" xfId="0" applyFont="1" applyBorder="1" applyAlignment="1">
      <alignment vertical="center" wrapText="1"/>
    </xf>
    <xf numFmtId="0" fontId="3" fillId="0" borderId="1" xfId="0" applyFont="1" applyBorder="1"/>
    <xf numFmtId="0" fontId="1" fillId="0" borderId="3" xfId="0" applyFont="1" applyBorder="1" applyAlignment="1">
      <alignment horizontal="left" wrapText="1"/>
    </xf>
    <xf numFmtId="1" fontId="1" fillId="0" borderId="1" xfId="0" applyNumberFormat="1" applyFont="1" applyBorder="1" applyAlignment="1">
      <alignment vertical="center"/>
    </xf>
    <xf numFmtId="0" fontId="1" fillId="0" borderId="1" xfId="0" applyFont="1" applyBorder="1" applyAlignment="1">
      <alignment horizontal="left" vertical="center" wrapText="1"/>
    </xf>
    <xf numFmtId="0" fontId="5" fillId="0" borderId="1" xfId="0" applyFont="1" applyBorder="1" applyAlignment="1">
      <alignment vertical="center"/>
    </xf>
    <xf numFmtId="0" fontId="5" fillId="0" borderId="1" xfId="0" applyFont="1" applyFill="1" applyBorder="1" applyAlignment="1">
      <alignment horizontal="center" vertical="center" wrapText="1"/>
    </xf>
    <xf numFmtId="1" fontId="1" fillId="0" borderId="1" xfId="0" applyNumberFormat="1" applyFont="1" applyBorder="1" applyAlignment="1">
      <alignment wrapText="1"/>
    </xf>
    <xf numFmtId="0" fontId="1" fillId="0" borderId="0" xfId="0" applyFont="1" applyBorder="1" applyAlignment="1">
      <alignment vertical="center" wrapText="1"/>
    </xf>
    <xf numFmtId="1" fontId="1" fillId="0" borderId="0" xfId="0" applyNumberFormat="1" applyFont="1" applyBorder="1" applyAlignment="1">
      <alignment vertical="center"/>
    </xf>
    <xf numFmtId="1" fontId="5" fillId="0" borderId="1" xfId="0" applyNumberFormat="1" applyFont="1" applyBorder="1" applyAlignment="1">
      <alignment horizontal="center" vertical="center"/>
    </xf>
    <xf numFmtId="0" fontId="3" fillId="0" borderId="0" xfId="0" applyFont="1" applyAlignment="1">
      <alignment wrapText="1"/>
    </xf>
    <xf numFmtId="0" fontId="0" fillId="0" borderId="0" xfId="0" applyBorder="1" applyAlignment="1">
      <alignment wrapText="1"/>
    </xf>
    <xf numFmtId="0" fontId="1" fillId="0" borderId="0" xfId="0" applyFont="1" applyBorder="1" applyAlignment="1">
      <alignment horizontal="left" wrapText="1"/>
    </xf>
    <xf numFmtId="1" fontId="1" fillId="0" borderId="0" xfId="0" applyNumberFormat="1" applyFont="1" applyBorder="1" applyAlignment="1">
      <alignment wrapText="1"/>
    </xf>
    <xf numFmtId="0" fontId="1" fillId="0" borderId="0" xfId="0" applyFont="1" applyBorder="1" applyAlignment="1">
      <alignment horizontal="left" vertical="center" wrapText="1"/>
    </xf>
    <xf numFmtId="1" fontId="0" fillId="0" borderId="0" xfId="0" applyNumberFormat="1" applyBorder="1" applyAlignment="1">
      <alignment wrapText="1"/>
    </xf>
    <xf numFmtId="0" fontId="0" fillId="2" borderId="0" xfId="0" applyFill="1"/>
    <xf numFmtId="0" fontId="0" fillId="3" borderId="0" xfId="0" applyFill="1"/>
    <xf numFmtId="1" fontId="0" fillId="0" borderId="1" xfId="0" applyNumberFormat="1" applyBorder="1" applyAlignment="1">
      <alignment wrapText="1"/>
    </xf>
    <xf numFmtId="0" fontId="7" fillId="0" borderId="0" xfId="0" applyFont="1" applyBorder="1" applyAlignment="1">
      <alignment vertical="center"/>
    </xf>
    <xf numFmtId="1" fontId="8" fillId="0" borderId="0" xfId="0" applyNumberFormat="1" applyFont="1" applyBorder="1" applyAlignment="1">
      <alignment horizontal="left" wrapText="1"/>
    </xf>
    <xf numFmtId="0" fontId="0" fillId="0" borderId="0" xfId="0" applyProtection="1">
      <protection locked="0"/>
    </xf>
    <xf numFmtId="0" fontId="3" fillId="0" borderId="1" xfId="0" applyFont="1" applyBorder="1" applyAlignment="1" applyProtection="1">
      <alignment horizontal="center"/>
      <protection locked="0"/>
    </xf>
    <xf numFmtId="0" fontId="5" fillId="0" borderId="1" xfId="0" applyFont="1" applyBorder="1" applyAlignment="1" applyProtection="1">
      <alignment horizontal="center" vertical="center"/>
      <protection locked="0"/>
    </xf>
    <xf numFmtId="0" fontId="1" fillId="0" borderId="1" xfId="0" applyFont="1" applyBorder="1" applyAlignment="1" applyProtection="1">
      <alignment wrapText="1"/>
      <protection locked="0"/>
    </xf>
    <xf numFmtId="0" fontId="0" fillId="0" borderId="0" xfId="0" applyBorder="1" applyProtection="1">
      <protection locked="0"/>
    </xf>
    <xf numFmtId="0" fontId="1" fillId="0" borderId="0" xfId="0" applyFont="1" applyAlignment="1" applyProtection="1">
      <alignment horizontal="left" wrapText="1"/>
      <protection locked="0"/>
    </xf>
    <xf numFmtId="2" fontId="1" fillId="0" borderId="0" xfId="0" applyNumberFormat="1" applyFont="1" applyAlignment="1" applyProtection="1">
      <alignment wrapText="1"/>
      <protection locked="0"/>
    </xf>
    <xf numFmtId="0" fontId="1" fillId="0" borderId="0" xfId="0" applyFont="1" applyBorder="1" applyAlignment="1" applyProtection="1">
      <alignment horizontal="left" wrapText="1"/>
      <protection locked="0"/>
    </xf>
    <xf numFmtId="0" fontId="1" fillId="0" borderId="1" xfId="0" applyFont="1" applyBorder="1" applyAlignment="1" applyProtection="1">
      <alignment horizontal="left" wrapText="1"/>
      <protection locked="0"/>
    </xf>
    <xf numFmtId="0" fontId="7" fillId="0" borderId="3" xfId="0" applyFont="1" applyBorder="1" applyAlignment="1" applyProtection="1">
      <alignment vertical="center"/>
      <protection locked="0"/>
    </xf>
    <xf numFmtId="0" fontId="8" fillId="0" borderId="3" xfId="0" applyFont="1" applyBorder="1" applyAlignment="1" applyProtection="1">
      <alignment horizontal="right" vertical="center"/>
      <protection locked="0"/>
    </xf>
    <xf numFmtId="2" fontId="1" fillId="0" borderId="1" xfId="0" applyNumberFormat="1" applyFont="1" applyBorder="1" applyAlignment="1" applyProtection="1">
      <alignment wrapText="1"/>
    </xf>
    <xf numFmtId="1" fontId="1" fillId="0" borderId="1" xfId="0" applyNumberFormat="1" applyFont="1" applyBorder="1" applyAlignment="1" applyProtection="1">
      <alignment wrapText="1"/>
    </xf>
    <xf numFmtId="0" fontId="10" fillId="0" borderId="0" xfId="0" applyFont="1"/>
    <xf numFmtId="0" fontId="10" fillId="0" borderId="1" xfId="0" applyFont="1" applyBorder="1" applyAlignment="1">
      <alignment horizontal="center" vertical="center"/>
    </xf>
    <xf numFmtId="0" fontId="10" fillId="0" borderId="1" xfId="0" applyFont="1" applyBorder="1" applyAlignment="1">
      <alignment vertical="center"/>
    </xf>
    <xf numFmtId="0" fontId="10" fillId="0" borderId="1" xfId="0" applyFont="1" applyBorder="1"/>
    <xf numFmtId="0" fontId="10" fillId="0" borderId="1" xfId="0" applyFont="1" applyBorder="1" applyAlignment="1">
      <alignment horizontal="right"/>
    </xf>
    <xf numFmtId="0" fontId="11" fillId="0" borderId="0" xfId="0" applyFont="1" applyAlignment="1">
      <alignment wrapText="1"/>
    </xf>
    <xf numFmtId="0" fontId="11" fillId="0" borderId="1" xfId="0" applyFont="1" applyFill="1" applyBorder="1" applyAlignment="1">
      <alignment horizontal="center" vertical="center" wrapText="1"/>
    </xf>
    <xf numFmtId="0" fontId="0" fillId="0" borderId="0" xfId="0" applyFill="1" applyProtection="1">
      <protection locked="0"/>
    </xf>
    <xf numFmtId="0" fontId="0" fillId="4" borderId="0" xfId="0" applyFill="1"/>
    <xf numFmtId="0" fontId="4" fillId="0" borderId="0" xfId="0" applyFont="1" applyBorder="1" applyAlignment="1">
      <alignment horizontal="center" vertical="center"/>
    </xf>
    <xf numFmtId="0" fontId="3" fillId="0" borderId="0" xfId="0" applyFont="1" applyBorder="1"/>
    <xf numFmtId="0" fontId="0" fillId="4" borderId="0" xfId="0" applyFill="1" applyBorder="1" applyAlignment="1">
      <alignment wrapText="1"/>
    </xf>
    <xf numFmtId="0" fontId="1" fillId="0" borderId="0" xfId="0" applyFont="1" applyFill="1" applyBorder="1" applyAlignment="1">
      <alignment horizontal="left" wrapText="1"/>
    </xf>
    <xf numFmtId="0" fontId="1" fillId="4" borderId="0" xfId="0" applyFont="1" applyFill="1" applyBorder="1" applyAlignment="1">
      <alignment horizontal="left" wrapText="1"/>
    </xf>
    <xf numFmtId="1" fontId="1" fillId="4" borderId="0" xfId="0" applyNumberFormat="1" applyFont="1" applyFill="1" applyBorder="1" applyAlignment="1">
      <alignment wrapText="1"/>
    </xf>
    <xf numFmtId="1" fontId="0" fillId="4" borderId="0" xfId="0" applyNumberFormat="1" applyFill="1" applyBorder="1" applyAlignment="1">
      <alignment wrapText="1"/>
    </xf>
    <xf numFmtId="1" fontId="1" fillId="0" borderId="0" xfId="0" applyNumberFormat="1" applyFont="1" applyFill="1" applyBorder="1" applyAlignment="1">
      <alignment wrapText="1"/>
    </xf>
    <xf numFmtId="1" fontId="0" fillId="0" borderId="0" xfId="0" applyNumberFormat="1" applyFill="1" applyBorder="1" applyAlignment="1">
      <alignment wrapText="1"/>
    </xf>
    <xf numFmtId="0" fontId="0" fillId="0" borderId="0" xfId="0" applyFill="1" applyBorder="1" applyAlignment="1">
      <alignment wrapText="1"/>
    </xf>
    <xf numFmtId="0" fontId="10" fillId="0" borderId="0" xfId="0" applyFont="1" applyBorder="1"/>
    <xf numFmtId="0" fontId="10" fillId="0" borderId="0" xfId="0" applyFont="1" applyBorder="1" applyAlignment="1">
      <alignment horizontal="right"/>
    </xf>
    <xf numFmtId="0" fontId="1" fillId="5" borderId="1" xfId="0" applyFont="1" applyFill="1" applyBorder="1" applyAlignment="1">
      <alignment horizontal="left" wrapText="1"/>
    </xf>
    <xf numFmtId="2" fontId="1" fillId="5" borderId="1" xfId="0" applyNumberFormat="1" applyFont="1" applyFill="1" applyBorder="1" applyAlignment="1">
      <alignment wrapText="1"/>
    </xf>
    <xf numFmtId="0" fontId="1" fillId="6" borderId="1" xfId="0" applyFont="1" applyFill="1" applyBorder="1" applyAlignment="1">
      <alignment horizontal="left" wrapText="1"/>
    </xf>
    <xf numFmtId="2" fontId="1" fillId="6" borderId="1" xfId="0" applyNumberFormat="1" applyFont="1" applyFill="1" applyBorder="1" applyAlignment="1">
      <alignment wrapText="1"/>
    </xf>
    <xf numFmtId="0" fontId="17" fillId="0" borderId="0" xfId="0" applyFont="1" applyBorder="1" applyAlignment="1">
      <alignment vertical="center"/>
    </xf>
    <xf numFmtId="1" fontId="18" fillId="0" borderId="0" xfId="0" applyNumberFormat="1" applyFont="1" applyBorder="1" applyAlignment="1">
      <alignment horizontal="left" wrapText="1"/>
    </xf>
    <xf numFmtId="0" fontId="3" fillId="0" borderId="0" xfId="0" applyFont="1" applyBorder="1" applyAlignment="1" applyProtection="1">
      <alignment horizontal="center"/>
      <protection locked="0"/>
    </xf>
    <xf numFmtId="0" fontId="9" fillId="0" borderId="0" xfId="0" applyFont="1" applyBorder="1" applyAlignment="1" applyProtection="1">
      <alignment vertical="center"/>
    </xf>
    <xf numFmtId="0" fontId="0" fillId="0" borderId="0" xfId="0" applyFill="1"/>
    <xf numFmtId="0" fontId="14" fillId="0" borderId="0" xfId="0" applyFont="1" applyFill="1" applyBorder="1" applyAlignment="1">
      <alignment horizontal="center" vertical="center"/>
    </xf>
    <xf numFmtId="0" fontId="10" fillId="0" borderId="0" xfId="0" applyFont="1" applyFill="1" applyBorder="1" applyAlignment="1">
      <alignment horizontal="right"/>
    </xf>
    <xf numFmtId="0" fontId="17" fillId="0" borderId="3" xfId="0" applyFont="1" applyBorder="1" applyAlignment="1" applyProtection="1">
      <alignment vertical="center"/>
      <protection locked="0"/>
    </xf>
    <xf numFmtId="0" fontId="18" fillId="0" borderId="3" xfId="0" applyFont="1" applyBorder="1" applyAlignment="1" applyProtection="1">
      <alignment horizontal="right" vertical="center"/>
      <protection locked="0"/>
    </xf>
    <xf numFmtId="0" fontId="1" fillId="5" borderId="1" xfId="0" applyFont="1" applyFill="1" applyBorder="1" applyAlignment="1" applyProtection="1">
      <alignment horizontal="left" wrapText="1"/>
      <protection locked="0"/>
    </xf>
    <xf numFmtId="2" fontId="1" fillId="5" borderId="1" xfId="0" applyNumberFormat="1" applyFont="1" applyFill="1" applyBorder="1" applyAlignment="1" applyProtection="1">
      <alignment wrapText="1"/>
    </xf>
    <xf numFmtId="0" fontId="1" fillId="6" borderId="1" xfId="0" applyFont="1" applyFill="1" applyBorder="1" applyAlignment="1" applyProtection="1">
      <alignment horizontal="left" wrapText="1"/>
      <protection locked="0"/>
    </xf>
    <xf numFmtId="2" fontId="1" fillId="6" borderId="1" xfId="0" applyNumberFormat="1" applyFont="1" applyFill="1" applyBorder="1" applyAlignment="1" applyProtection="1">
      <alignment wrapText="1"/>
    </xf>
    <xf numFmtId="0" fontId="1" fillId="0" borderId="0" xfId="0" applyFont="1" applyBorder="1" applyAlignment="1" applyProtection="1">
      <alignment wrapText="1"/>
      <protection locked="0"/>
    </xf>
    <xf numFmtId="2" fontId="1" fillId="0" borderId="0" xfId="0" applyNumberFormat="1" applyFont="1" applyBorder="1" applyAlignment="1" applyProtection="1">
      <alignment wrapText="1"/>
    </xf>
    <xf numFmtId="2" fontId="1" fillId="0" borderId="0" xfId="0" applyNumberFormat="1" applyFont="1" applyBorder="1" applyAlignment="1" applyProtection="1">
      <alignment wrapText="1"/>
      <protection locked="0"/>
    </xf>
    <xf numFmtId="1" fontId="1" fillId="0" borderId="0" xfId="0" applyNumberFormat="1" applyFont="1" applyBorder="1" applyAlignment="1" applyProtection="1">
      <alignment wrapText="1"/>
    </xf>
    <xf numFmtId="0" fontId="7" fillId="0" borderId="0" xfId="0" applyFont="1" applyBorder="1" applyAlignment="1" applyProtection="1">
      <alignment vertical="center"/>
      <protection locked="0"/>
    </xf>
    <xf numFmtId="0" fontId="8" fillId="0" borderId="0" xfId="0" applyFont="1" applyBorder="1" applyAlignment="1" applyProtection="1">
      <alignment horizontal="right" vertical="center"/>
      <protection locked="0"/>
    </xf>
    <xf numFmtId="0" fontId="1" fillId="0" borderId="0" xfId="0" applyFont="1" applyFill="1" applyBorder="1" applyAlignment="1" applyProtection="1">
      <alignment horizontal="left" wrapText="1"/>
      <protection locked="0"/>
    </xf>
    <xf numFmtId="0" fontId="5" fillId="0" borderId="0" xfId="0" applyFont="1" applyBorder="1" applyAlignment="1" applyProtection="1">
      <alignment horizontal="center" vertical="center"/>
      <protection locked="0"/>
    </xf>
    <xf numFmtId="0" fontId="1" fillId="6" borderId="3" xfId="0" applyFont="1" applyFill="1" applyBorder="1" applyAlignment="1">
      <alignment horizontal="left" wrapText="1"/>
    </xf>
    <xf numFmtId="0" fontId="1" fillId="6" borderId="1" xfId="0" applyFont="1" applyFill="1" applyBorder="1" applyAlignment="1">
      <alignment horizontal="left" vertical="center" wrapText="1"/>
    </xf>
    <xf numFmtId="164" fontId="1" fillId="6" borderId="1" xfId="0" applyNumberFormat="1" applyFont="1" applyFill="1" applyBorder="1" applyAlignment="1">
      <alignment wrapText="1"/>
    </xf>
    <xf numFmtId="0" fontId="0" fillId="0" borderId="0" xfId="0" applyFill="1" applyBorder="1" applyProtection="1">
      <protection locked="0"/>
    </xf>
    <xf numFmtId="0" fontId="17" fillId="0" borderId="0" xfId="0" applyFont="1" applyFill="1" applyBorder="1" applyAlignment="1" applyProtection="1">
      <alignment vertical="center"/>
      <protection locked="0"/>
    </xf>
    <xf numFmtId="0" fontId="18" fillId="0" borderId="0" xfId="0" applyFont="1" applyFill="1" applyBorder="1" applyAlignment="1" applyProtection="1">
      <alignment horizontal="right" vertical="center"/>
      <protection locked="0"/>
    </xf>
    <xf numFmtId="0" fontId="7" fillId="0" borderId="1" xfId="0" applyFont="1" applyFill="1" applyBorder="1" applyAlignment="1">
      <alignment horizontal="left" vertical="center" wrapText="1"/>
    </xf>
    <xf numFmtId="0" fontId="20" fillId="0" borderId="5" xfId="0" applyFont="1" applyBorder="1" applyAlignment="1" applyProtection="1">
      <alignment vertical="center"/>
    </xf>
    <xf numFmtId="0" fontId="21" fillId="0" borderId="5" xfId="0" applyFont="1" applyBorder="1" applyAlignment="1" applyProtection="1">
      <alignment vertical="center"/>
    </xf>
    <xf numFmtId="1" fontId="7" fillId="0" borderId="0" xfId="0" applyNumberFormat="1" applyFont="1" applyBorder="1" applyAlignment="1">
      <alignment horizontal="left" wrapText="1"/>
    </xf>
    <xf numFmtId="1" fontId="20" fillId="0" borderId="5" xfId="0" applyNumberFormat="1" applyFont="1" applyBorder="1" applyAlignment="1" applyProtection="1">
      <alignment horizontal="left" vertical="center"/>
    </xf>
    <xf numFmtId="1" fontId="21" fillId="0" borderId="5" xfId="0" applyNumberFormat="1" applyFont="1" applyBorder="1" applyAlignment="1" applyProtection="1">
      <alignment horizontal="left" vertical="center"/>
    </xf>
    <xf numFmtId="0" fontId="20" fillId="0" borderId="0" xfId="0" applyFont="1" applyBorder="1" applyAlignment="1" applyProtection="1">
      <alignment vertical="center"/>
    </xf>
    <xf numFmtId="0" fontId="17" fillId="0" borderId="0" xfId="0" applyFont="1" applyBorder="1" applyAlignment="1" applyProtection="1">
      <alignment vertical="center"/>
      <protection locked="0"/>
    </xf>
    <xf numFmtId="0" fontId="21" fillId="0" borderId="0" xfId="0" applyFont="1" applyBorder="1" applyAlignment="1" applyProtection="1">
      <alignment vertical="center"/>
    </xf>
    <xf numFmtId="1" fontId="20" fillId="0" borderId="0" xfId="0" applyNumberFormat="1" applyFont="1" applyBorder="1" applyAlignment="1" applyProtection="1">
      <alignment horizontal="left" vertical="center"/>
    </xf>
    <xf numFmtId="0" fontId="18" fillId="0" borderId="0" xfId="0" applyFont="1" applyBorder="1" applyAlignment="1" applyProtection="1">
      <alignment horizontal="right" vertical="center"/>
      <protection locked="0"/>
    </xf>
    <xf numFmtId="1" fontId="21" fillId="0" borderId="0" xfId="0" applyNumberFormat="1" applyFont="1" applyBorder="1" applyAlignment="1" applyProtection="1">
      <alignment horizontal="left" vertical="center"/>
    </xf>
    <xf numFmtId="1" fontId="5" fillId="0" borderId="0" xfId="0" applyNumberFormat="1" applyFont="1" applyBorder="1" applyAlignment="1">
      <alignment horizontal="center" vertical="center"/>
    </xf>
    <xf numFmtId="0" fontId="7" fillId="0" borderId="0" xfId="0" applyFont="1" applyFill="1" applyBorder="1" applyAlignment="1">
      <alignment horizontal="left" vertical="center" wrapText="1"/>
    </xf>
    <xf numFmtId="2" fontId="7" fillId="0" borderId="0" xfId="0" applyNumberFormat="1" applyFont="1" applyFill="1" applyBorder="1" applyProtection="1">
      <protection locked="0"/>
    </xf>
    <xf numFmtId="2" fontId="1" fillId="0" borderId="0" xfId="0" applyNumberFormat="1" applyFont="1" applyFill="1" applyBorder="1" applyAlignment="1" applyProtection="1">
      <alignment wrapText="1"/>
    </xf>
    <xf numFmtId="2" fontId="7" fillId="0" borderId="1" xfId="0" applyNumberFormat="1" applyFont="1" applyFill="1" applyBorder="1" applyAlignment="1" applyProtection="1">
      <alignment vertical="center" wrapText="1"/>
      <protection locked="0"/>
    </xf>
    <xf numFmtId="2" fontId="22" fillId="0" borderId="1" xfId="0" applyNumberFormat="1" applyFont="1" applyBorder="1" applyAlignment="1" applyProtection="1">
      <alignment wrapText="1"/>
    </xf>
    <xf numFmtId="0" fontId="22" fillId="0" borderId="0" xfId="0" applyFont="1" applyAlignment="1" applyProtection="1">
      <protection locked="0"/>
    </xf>
    <xf numFmtId="0" fontId="24" fillId="0" borderId="0" xfId="0" applyFont="1" applyBorder="1" applyAlignment="1" applyProtection="1">
      <alignment horizontal="center" vertical="center" wrapText="1"/>
      <protection locked="0"/>
    </xf>
    <xf numFmtId="0" fontId="9" fillId="0" borderId="0" xfId="0" applyFont="1" applyFill="1" applyBorder="1" applyAlignment="1" applyProtection="1">
      <alignment vertical="center"/>
    </xf>
    <xf numFmtId="1" fontId="8" fillId="0" borderId="0" xfId="0" applyNumberFormat="1" applyFont="1" applyFill="1" applyBorder="1" applyAlignment="1" applyProtection="1">
      <alignment horizontal="left" vertical="center"/>
    </xf>
    <xf numFmtId="0" fontId="23" fillId="0" borderId="5" xfId="0" applyFont="1" applyBorder="1" applyAlignment="1" applyProtection="1">
      <alignment horizontal="center" vertical="center"/>
      <protection locked="0"/>
    </xf>
    <xf numFmtId="0" fontId="26" fillId="0" borderId="0" xfId="0" applyFont="1" applyProtection="1">
      <protection locked="0"/>
    </xf>
    <xf numFmtId="0" fontId="22" fillId="0" borderId="0" xfId="0" applyFont="1" applyProtection="1">
      <protection locked="0"/>
    </xf>
    <xf numFmtId="0" fontId="28" fillId="0" borderId="0" xfId="0" applyFont="1" applyBorder="1" applyAlignment="1" applyProtection="1">
      <alignment horizontal="center"/>
      <protection locked="0"/>
    </xf>
    <xf numFmtId="0" fontId="22" fillId="0" borderId="0" xfId="0" applyFont="1" applyAlignment="1" applyProtection="1">
      <alignment wrapText="1"/>
      <protection locked="0"/>
    </xf>
    <xf numFmtId="0" fontId="28" fillId="0" borderId="0" xfId="0" applyFont="1" applyBorder="1" applyAlignment="1" applyProtection="1">
      <alignment horizontal="left" vertical="center" wrapText="1"/>
      <protection locked="0"/>
    </xf>
    <xf numFmtId="0" fontId="23" fillId="0" borderId="1" xfId="0" applyFont="1" applyFill="1" applyBorder="1" applyAlignment="1" applyProtection="1">
      <alignment horizontal="center" vertical="center" wrapText="1"/>
      <protection locked="0"/>
    </xf>
    <xf numFmtId="0" fontId="22" fillId="0" borderId="1" xfId="0" applyFont="1" applyFill="1" applyBorder="1" applyAlignment="1" applyProtection="1">
      <alignment horizontal="center" vertical="center" wrapText="1"/>
      <protection locked="0"/>
    </xf>
    <xf numFmtId="0" fontId="29" fillId="0" borderId="0"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protection locked="0"/>
    </xf>
    <xf numFmtId="0" fontId="28" fillId="0" borderId="0" xfId="0" applyFont="1" applyAlignment="1" applyProtection="1">
      <protection locked="0"/>
    </xf>
    <xf numFmtId="0" fontId="22" fillId="0" borderId="0" xfId="0" applyFont="1" applyBorder="1" applyAlignment="1" applyProtection="1">
      <alignment horizontal="center"/>
      <protection locked="0"/>
    </xf>
    <xf numFmtId="0" fontId="28" fillId="0" borderId="0" xfId="0" applyFont="1" applyAlignment="1" applyProtection="1">
      <alignment horizontal="center" vertical="center" wrapText="1"/>
    </xf>
    <xf numFmtId="0" fontId="22" fillId="0" borderId="0" xfId="0" applyFont="1" applyBorder="1" applyAlignment="1" applyProtection="1">
      <alignment wrapText="1"/>
      <protection locked="0"/>
    </xf>
    <xf numFmtId="2" fontId="22" fillId="0" borderId="0" xfId="0" applyNumberFormat="1" applyFont="1" applyBorder="1" applyAlignment="1" applyProtection="1">
      <alignment wrapText="1"/>
    </xf>
    <xf numFmtId="0" fontId="22" fillId="0" borderId="0" xfId="0" applyFont="1" applyBorder="1" applyProtection="1">
      <protection locked="0"/>
    </xf>
    <xf numFmtId="0" fontId="22" fillId="0" borderId="0" xfId="0" applyFont="1" applyBorder="1" applyAlignment="1" applyProtection="1">
      <alignment horizontal="left" wrapText="1"/>
      <protection locked="0"/>
    </xf>
    <xf numFmtId="2" fontId="22" fillId="0" borderId="0" xfId="0" applyNumberFormat="1" applyFont="1" applyBorder="1" applyAlignment="1" applyProtection="1">
      <alignment wrapText="1"/>
      <protection locked="0"/>
    </xf>
    <xf numFmtId="1" fontId="22" fillId="0" borderId="0" xfId="0" applyNumberFormat="1" applyFont="1" applyBorder="1" applyAlignment="1" applyProtection="1">
      <alignment wrapText="1"/>
      <protection locked="0"/>
    </xf>
    <xf numFmtId="1" fontId="22" fillId="0" borderId="0" xfId="0" applyNumberFormat="1" applyFont="1" applyBorder="1" applyAlignment="1" applyProtection="1">
      <alignment wrapText="1"/>
    </xf>
    <xf numFmtId="0" fontId="9" fillId="0" borderId="0" xfId="0" applyFont="1" applyBorder="1" applyAlignment="1" applyProtection="1">
      <alignment vertical="center"/>
      <protection locked="0"/>
    </xf>
    <xf numFmtId="0" fontId="9" fillId="0" borderId="0" xfId="0" applyFont="1" applyBorder="1" applyAlignment="1" applyProtection="1">
      <alignment horizontal="right" vertical="center"/>
      <protection locked="0"/>
    </xf>
    <xf numFmtId="1" fontId="9" fillId="0" borderId="0" xfId="0" applyNumberFormat="1" applyFont="1" applyBorder="1" applyAlignment="1" applyProtection="1">
      <alignment horizontal="left" vertical="center"/>
    </xf>
    <xf numFmtId="0" fontId="22" fillId="0" borderId="0" xfId="0" applyFont="1" applyFill="1" applyBorder="1" applyAlignment="1" applyProtection="1">
      <alignment horizontal="left" wrapText="1"/>
      <protection locked="0"/>
    </xf>
    <xf numFmtId="1" fontId="23" fillId="0" borderId="0" xfId="0" applyNumberFormat="1" applyFont="1" applyBorder="1" applyAlignment="1" applyProtection="1">
      <alignment horizontal="center" vertical="center"/>
      <protection locked="0"/>
    </xf>
    <xf numFmtId="0" fontId="0" fillId="0" borderId="0" xfId="0" applyBorder="1" applyAlignment="1">
      <alignment horizontal="center" vertical="center"/>
    </xf>
    <xf numFmtId="0" fontId="23" fillId="0" borderId="1" xfId="0" applyFont="1" applyBorder="1" applyAlignment="1" applyProtection="1">
      <alignment horizontal="right" vertical="center" wrapText="1"/>
      <protection locked="0"/>
    </xf>
    <xf numFmtId="0" fontId="11" fillId="0" borderId="1" xfId="0" applyFont="1" applyBorder="1" applyAlignment="1">
      <alignment wrapText="1"/>
    </xf>
    <xf numFmtId="2" fontId="18" fillId="0" borderId="0" xfId="0" applyNumberFormat="1" applyFont="1" applyFill="1" applyBorder="1" applyAlignment="1">
      <alignment wrapText="1"/>
    </xf>
    <xf numFmtId="0" fontId="2" fillId="0" borderId="1" xfId="0" applyFont="1" applyFill="1" applyBorder="1" applyAlignment="1">
      <alignment horizontal="center" vertical="center" wrapText="1"/>
    </xf>
    <xf numFmtId="1" fontId="0" fillId="0" borderId="0" xfId="0" applyNumberFormat="1" applyAlignment="1">
      <alignment wrapText="1"/>
    </xf>
    <xf numFmtId="0" fontId="31" fillId="0" borderId="0" xfId="1"/>
    <xf numFmtId="0" fontId="31" fillId="0" borderId="0" xfId="1" applyFill="1" applyBorder="1"/>
    <xf numFmtId="164" fontId="31" fillId="0" borderId="1" xfId="1" applyNumberFormat="1" applyFill="1" applyBorder="1"/>
    <xf numFmtId="0" fontId="31" fillId="0" borderId="1" xfId="1" applyFill="1" applyBorder="1"/>
    <xf numFmtId="0" fontId="32" fillId="0" borderId="1" xfId="1" applyFont="1" applyFill="1" applyBorder="1"/>
    <xf numFmtId="0" fontId="34" fillId="0" borderId="0" xfId="1" applyFont="1" applyFill="1" applyBorder="1"/>
    <xf numFmtId="2" fontId="31" fillId="0" borderId="1" xfId="1" applyNumberFormat="1" applyFill="1" applyBorder="1"/>
    <xf numFmtId="0" fontId="31" fillId="0" borderId="1" xfId="1" applyFill="1" applyBorder="1" applyAlignment="1">
      <alignment wrapText="1"/>
    </xf>
    <xf numFmtId="0" fontId="31" fillId="0" borderId="0" xfId="1" applyFill="1" applyBorder="1" applyAlignment="1">
      <alignment horizontal="center" vertical="center"/>
    </xf>
    <xf numFmtId="2" fontId="31" fillId="0" borderId="0" xfId="1" applyNumberFormat="1" applyFill="1" applyBorder="1" applyAlignment="1">
      <alignment horizontal="center" vertical="center"/>
    </xf>
    <xf numFmtId="0" fontId="31" fillId="0" borderId="0" xfId="1" applyFill="1" applyBorder="1" applyAlignment="1">
      <alignment horizontal="center"/>
    </xf>
    <xf numFmtId="0" fontId="34" fillId="0" borderId="0" xfId="1" applyFont="1" applyFill="1" applyBorder="1" applyAlignment="1">
      <alignment horizontal="center" vertical="center"/>
    </xf>
    <xf numFmtId="164" fontId="31" fillId="0" borderId="0" xfId="1" applyNumberFormat="1"/>
    <xf numFmtId="0" fontId="31" fillId="0" borderId="0" xfId="1" applyFont="1"/>
    <xf numFmtId="2" fontId="35" fillId="0" borderId="0" xfId="1" applyNumberFormat="1" applyFont="1"/>
    <xf numFmtId="0" fontId="35" fillId="0" borderId="0" xfId="1" applyFont="1"/>
    <xf numFmtId="0" fontId="31" fillId="0" borderId="0" xfId="1" applyFont="1" applyAlignment="1">
      <alignment wrapText="1"/>
    </xf>
    <xf numFmtId="2" fontId="31" fillId="0" borderId="0" xfId="1" applyNumberFormat="1"/>
    <xf numFmtId="0" fontId="31" fillId="0" borderId="0" xfId="1" applyFont="1" applyFill="1" applyBorder="1" applyAlignment="1">
      <alignment horizontal="center" wrapText="1"/>
    </xf>
    <xf numFmtId="0" fontId="31" fillId="0" borderId="0" xfId="1" applyFont="1" applyFill="1" applyBorder="1" applyAlignment="1">
      <alignment horizontal="center"/>
    </xf>
    <xf numFmtId="0" fontId="31" fillId="0" borderId="1" xfId="1" applyFill="1" applyBorder="1" applyAlignment="1">
      <alignment horizontal="center" vertical="center"/>
    </xf>
    <xf numFmtId="0" fontId="31" fillId="0" borderId="1" xfId="1" applyFill="1" applyBorder="1" applyAlignment="1">
      <alignment horizontal="center"/>
    </xf>
    <xf numFmtId="0" fontId="31" fillId="0" borderId="1" xfId="1" applyFill="1" applyBorder="1" applyAlignment="1">
      <alignment vertical="center" wrapText="1"/>
    </xf>
    <xf numFmtId="0" fontId="31" fillId="0" borderId="0" xfId="1" applyBorder="1"/>
    <xf numFmtId="0" fontId="31" fillId="0" borderId="0" xfId="1" applyAlignment="1"/>
    <xf numFmtId="164" fontId="35" fillId="0" borderId="0" xfId="1" applyNumberFormat="1" applyFont="1"/>
    <xf numFmtId="0" fontId="36" fillId="0" borderId="0" xfId="1" applyFont="1" applyFill="1" applyBorder="1" applyAlignment="1">
      <alignment horizontal="center" vertical="center" wrapText="1"/>
    </xf>
    <xf numFmtId="0" fontId="10" fillId="0" borderId="0" xfId="1" applyFont="1" applyBorder="1" applyAlignment="1">
      <alignment horizontal="right"/>
    </xf>
    <xf numFmtId="0" fontId="10" fillId="0" borderId="0" xfId="1" applyFont="1" applyFill="1" applyBorder="1" applyAlignment="1">
      <alignment horizontal="right"/>
    </xf>
    <xf numFmtId="0" fontId="10" fillId="0" borderId="1" xfId="1" applyFont="1" applyBorder="1" applyAlignment="1">
      <alignment horizontal="right"/>
    </xf>
    <xf numFmtId="0" fontId="10" fillId="0" borderId="1" xfId="1" applyFont="1" applyBorder="1"/>
    <xf numFmtId="0" fontId="11" fillId="0" borderId="1" xfId="1" applyFont="1" applyFill="1" applyBorder="1" applyAlignment="1">
      <alignment wrapText="1"/>
    </xf>
    <xf numFmtId="0" fontId="11" fillId="0" borderId="3" xfId="1" applyFont="1" applyFill="1" applyBorder="1" applyAlignment="1">
      <alignment wrapText="1"/>
    </xf>
    <xf numFmtId="0" fontId="11" fillId="0" borderId="1" xfId="1" applyFont="1" applyBorder="1" applyAlignment="1">
      <alignment wrapText="1"/>
    </xf>
    <xf numFmtId="0" fontId="31" fillId="9" borderId="0" xfId="1" applyFill="1"/>
    <xf numFmtId="0" fontId="31" fillId="8" borderId="0" xfId="1" applyFill="1" applyAlignment="1"/>
    <xf numFmtId="0" fontId="11" fillId="8" borderId="0" xfId="1" applyFont="1" applyFill="1" applyAlignment="1">
      <alignment horizontal="center" vertical="center" wrapText="1"/>
    </xf>
    <xf numFmtId="0" fontId="14" fillId="0" borderId="0" xfId="1" applyFont="1" applyFill="1" applyBorder="1" applyAlignment="1">
      <alignment horizontal="center" vertical="center"/>
    </xf>
    <xf numFmtId="0" fontId="13" fillId="0" borderId="0" xfId="0" applyFont="1" applyBorder="1" applyAlignment="1" applyProtection="1">
      <alignment horizontal="center" vertical="center" wrapText="1"/>
      <protection locked="0"/>
    </xf>
    <xf numFmtId="0" fontId="38" fillId="0" borderId="0" xfId="2"/>
    <xf numFmtId="0" fontId="38" fillId="0" borderId="0" xfId="2" applyBorder="1"/>
    <xf numFmtId="0" fontId="38" fillId="0" borderId="0" xfId="2" applyFill="1" applyBorder="1"/>
    <xf numFmtId="2" fontId="31" fillId="0" borderId="0" xfId="1" applyNumberFormat="1" applyFill="1" applyBorder="1" applyAlignment="1">
      <alignment horizontal="center" vertical="center"/>
    </xf>
    <xf numFmtId="0" fontId="31" fillId="0" borderId="0" xfId="1" applyFill="1" applyBorder="1" applyAlignment="1">
      <alignment horizontal="center" vertical="center"/>
    </xf>
    <xf numFmtId="0" fontId="0" fillId="0" borderId="5" xfId="0" applyBorder="1"/>
    <xf numFmtId="0" fontId="0" fillId="0" borderId="1" xfId="0" applyBorder="1"/>
    <xf numFmtId="0" fontId="22" fillId="0" borderId="0" xfId="0" applyFont="1" applyBorder="1" applyAlignment="1" applyProtection="1">
      <alignment horizontal="center" vertical="center"/>
      <protection locked="0"/>
    </xf>
    <xf numFmtId="0" fontId="22" fillId="0" borderId="0" xfId="0" applyFont="1" applyBorder="1" applyAlignment="1">
      <alignment horizontal="center" vertical="center"/>
    </xf>
    <xf numFmtId="0" fontId="25" fillId="0" borderId="0" xfId="0" applyNumberFormat="1" applyFont="1" applyBorder="1" applyAlignment="1" applyProtection="1">
      <alignment horizontal="center" wrapText="1"/>
      <protection locked="0"/>
    </xf>
    <xf numFmtId="0" fontId="25" fillId="0" borderId="0" xfId="0" applyFont="1" applyBorder="1" applyAlignment="1">
      <alignment horizontal="center" wrapText="1"/>
    </xf>
    <xf numFmtId="0" fontId="23" fillId="0" borderId="0" xfId="0" applyFont="1" applyBorder="1" applyAlignment="1" applyProtection="1">
      <alignment horizontal="center"/>
      <protection locked="0"/>
    </xf>
    <xf numFmtId="0" fontId="23" fillId="0" borderId="0" xfId="0" applyFont="1" applyBorder="1" applyAlignment="1">
      <alignment horizontal="center"/>
    </xf>
    <xf numFmtId="2" fontId="1" fillId="0" borderId="0" xfId="0" applyNumberFormat="1" applyFont="1" applyFill="1" applyBorder="1" applyAlignment="1">
      <alignment wrapText="1"/>
    </xf>
    <xf numFmtId="164" fontId="1" fillId="0" borderId="0" xfId="0" applyNumberFormat="1" applyFont="1" applyFill="1" applyBorder="1" applyAlignment="1">
      <alignment wrapText="1"/>
    </xf>
    <xf numFmtId="0" fontId="42" fillId="0" borderId="1" xfId="0" applyFont="1" applyBorder="1" applyAlignment="1">
      <alignment horizontal="left" wrapText="1"/>
    </xf>
    <xf numFmtId="1" fontId="42" fillId="0" borderId="1" xfId="0" applyNumberFormat="1" applyFont="1" applyBorder="1" applyAlignment="1">
      <alignment wrapText="1"/>
    </xf>
    <xf numFmtId="164" fontId="42" fillId="0" borderId="1" xfId="0" applyNumberFormat="1" applyFont="1" applyBorder="1" applyAlignment="1">
      <alignment wrapText="1"/>
    </xf>
    <xf numFmtId="0" fontId="42" fillId="0" borderId="0" xfId="0" applyFont="1" applyAlignment="1">
      <alignment wrapText="1"/>
    </xf>
    <xf numFmtId="0" fontId="42" fillId="6" borderId="1" xfId="0" applyFont="1" applyFill="1" applyBorder="1" applyAlignment="1">
      <alignment horizontal="left" wrapText="1"/>
    </xf>
    <xf numFmtId="0" fontId="42" fillId="5" borderId="1" xfId="0" applyFont="1" applyFill="1" applyBorder="1" applyAlignment="1">
      <alignment horizontal="left" wrapText="1"/>
    </xf>
    <xf numFmtId="0" fontId="42" fillId="0" borderId="0" xfId="0" applyFont="1" applyFill="1" applyBorder="1" applyAlignment="1">
      <alignment horizontal="left" wrapText="1"/>
    </xf>
    <xf numFmtId="2" fontId="42" fillId="0" borderId="0" xfId="0" applyNumberFormat="1" applyFont="1" applyFill="1" applyBorder="1" applyAlignment="1">
      <alignment wrapText="1"/>
    </xf>
    <xf numFmtId="0" fontId="42" fillId="0" borderId="0" xfId="0" applyFont="1" applyBorder="1" applyAlignment="1">
      <alignment horizontal="left" wrapText="1"/>
    </xf>
    <xf numFmtId="1" fontId="42" fillId="0" borderId="0" xfId="0" applyNumberFormat="1" applyFont="1" applyBorder="1" applyAlignment="1">
      <alignment vertical="center"/>
    </xf>
    <xf numFmtId="0" fontId="43" fillId="0" borderId="0" xfId="0" applyFont="1" applyBorder="1" applyAlignment="1"/>
    <xf numFmtId="0" fontId="42" fillId="0" borderId="1" xfId="0" applyFont="1" applyFill="1" applyBorder="1" applyAlignment="1">
      <alignment horizontal="left" wrapText="1"/>
    </xf>
    <xf numFmtId="1" fontId="43" fillId="0" borderId="1" xfId="0" applyNumberFormat="1" applyFont="1" applyBorder="1" applyAlignment="1">
      <alignment wrapText="1"/>
    </xf>
    <xf numFmtId="164" fontId="0" fillId="0" borderId="1" xfId="0" applyNumberFormat="1" applyBorder="1"/>
    <xf numFmtId="0" fontId="2" fillId="6" borderId="1" xfId="0" applyFont="1" applyFill="1" applyBorder="1" applyAlignment="1" applyProtection="1">
      <alignment horizontal="left" wrapText="1"/>
      <protection locked="0"/>
    </xf>
    <xf numFmtId="164" fontId="45" fillId="6" borderId="1" xfId="0" applyNumberFormat="1" applyFont="1" applyFill="1" applyBorder="1"/>
    <xf numFmtId="164" fontId="0" fillId="5" borderId="1" xfId="0" applyNumberFormat="1" applyFill="1" applyBorder="1"/>
    <xf numFmtId="0" fontId="40" fillId="0" borderId="0" xfId="2" applyFont="1" applyFill="1" applyBorder="1" applyAlignment="1">
      <alignment horizontal="center" vertical="center"/>
    </xf>
    <xf numFmtId="0" fontId="39" fillId="0" borderId="0" xfId="2" applyFont="1" applyFill="1" applyBorder="1" applyAlignment="1">
      <alignment horizontal="center" vertical="center"/>
    </xf>
    <xf numFmtId="0" fontId="38" fillId="0" borderId="0" xfId="2" applyFill="1" applyBorder="1" applyAlignment="1">
      <alignment horizontal="center" vertical="center"/>
    </xf>
    <xf numFmtId="2" fontId="38" fillId="0" borderId="0" xfId="2" applyNumberFormat="1" applyFill="1" applyBorder="1" applyAlignment="1">
      <alignment horizontal="center" vertical="center"/>
    </xf>
    <xf numFmtId="0" fontId="38" fillId="0" borderId="0" xfId="2" applyFill="1" applyBorder="1" applyAlignment="1"/>
    <xf numFmtId="0" fontId="0" fillId="0" borderId="0" xfId="0" applyBorder="1"/>
    <xf numFmtId="0" fontId="11" fillId="13" borderId="0" xfId="1" applyFont="1" applyFill="1" applyAlignment="1">
      <alignment horizontal="center" vertical="center" wrapText="1"/>
    </xf>
    <xf numFmtId="0" fontId="31" fillId="13" borderId="0" xfId="1" applyFill="1" applyAlignment="1"/>
    <xf numFmtId="0" fontId="31" fillId="0" borderId="0" xfId="1" applyFill="1" applyBorder="1" applyAlignment="1">
      <alignment horizontal="center" vertical="center"/>
    </xf>
    <xf numFmtId="0" fontId="31" fillId="0" borderId="0" xfId="1" applyFill="1" applyBorder="1" applyAlignment="1">
      <alignment horizontal="center" vertical="center"/>
    </xf>
    <xf numFmtId="0" fontId="0" fillId="0" borderId="0" xfId="0" applyAlignment="1">
      <alignment horizontal="center" vertical="center" wrapText="1"/>
    </xf>
    <xf numFmtId="0" fontId="31" fillId="0" borderId="0" xfId="1" applyFill="1" applyBorder="1" applyAlignment="1">
      <alignment horizontal="left"/>
    </xf>
    <xf numFmtId="0" fontId="2" fillId="0" borderId="1" xfId="0" applyFont="1" applyFill="1" applyBorder="1" applyAlignment="1">
      <alignment horizontal="center" vertical="center" wrapText="1"/>
    </xf>
    <xf numFmtId="0" fontId="47" fillId="0" borderId="1" xfId="1" applyFont="1" applyBorder="1"/>
    <xf numFmtId="0" fontId="47" fillId="0" borderId="1" xfId="1" applyFont="1" applyBorder="1" applyAlignment="1">
      <alignment horizontal="center"/>
    </xf>
    <xf numFmtId="1" fontId="0" fillId="0" borderId="0" xfId="0" applyNumberFormat="1" applyFont="1"/>
    <xf numFmtId="0" fontId="0" fillId="0" borderId="0" xfId="0" applyFont="1"/>
    <xf numFmtId="164" fontId="0" fillId="0" borderId="0" xfId="0" applyNumberFormat="1" applyFont="1"/>
    <xf numFmtId="0" fontId="45" fillId="0" borderId="0" xfId="1" applyFont="1" applyFill="1" applyBorder="1" applyAlignment="1">
      <alignment horizontal="center" vertical="center"/>
    </xf>
    <xf numFmtId="164" fontId="0" fillId="0" borderId="0" xfId="0" applyNumberFormat="1" applyFont="1" applyAlignment="1">
      <alignment horizontal="right"/>
    </xf>
    <xf numFmtId="164" fontId="0" fillId="0" borderId="0" xfId="0" applyNumberFormat="1" applyBorder="1"/>
    <xf numFmtId="0" fontId="31" fillId="0" borderId="0" xfId="1" applyFill="1" applyBorder="1" applyAlignment="1">
      <alignment horizontal="center" vertical="center"/>
    </xf>
    <xf numFmtId="0" fontId="0" fillId="0" borderId="0" xfId="0" applyAlignment="1">
      <alignment wrapText="1"/>
    </xf>
    <xf numFmtId="0" fontId="0" fillId="0" borderId="0" xfId="0" applyAlignment="1"/>
    <xf numFmtId="0" fontId="31" fillId="0" borderId="0" xfId="1" applyFill="1" applyBorder="1" applyAlignment="1">
      <alignment horizontal="center" vertical="center"/>
    </xf>
    <xf numFmtId="0" fontId="0" fillId="0" borderId="0" xfId="0" applyAlignment="1">
      <alignment wrapText="1"/>
    </xf>
    <xf numFmtId="0" fontId="11" fillId="0" borderId="0" xfId="1" applyFont="1" applyBorder="1" applyAlignment="1">
      <alignment wrapText="1"/>
    </xf>
    <xf numFmtId="0" fontId="31" fillId="0" borderId="1" xfId="1" applyFill="1" applyBorder="1" applyAlignment="1">
      <alignment horizontal="center" vertical="center"/>
    </xf>
    <xf numFmtId="0" fontId="31" fillId="0" borderId="0" xfId="1" applyFill="1" applyBorder="1" applyAlignment="1">
      <alignment horizontal="center" vertical="center"/>
    </xf>
    <xf numFmtId="0" fontId="47" fillId="0" borderId="0" xfId="1" applyFont="1" applyBorder="1" applyAlignment="1">
      <alignment horizontal="center"/>
    </xf>
    <xf numFmtId="0" fontId="31" fillId="0" borderId="0" xfId="1" applyFill="1" applyBorder="1" applyAlignment="1">
      <alignment horizontal="center" vertical="center"/>
    </xf>
    <xf numFmtId="0" fontId="0" fillId="0" borderId="0" xfId="0" applyAlignment="1">
      <alignment wrapText="1"/>
    </xf>
    <xf numFmtId="164" fontId="31" fillId="0" borderId="0" xfId="1" applyNumberFormat="1" applyBorder="1"/>
    <xf numFmtId="0" fontId="32" fillId="0" borderId="0" xfId="1" applyFont="1" applyFill="1" applyBorder="1" applyAlignment="1">
      <alignment horizontal="center" vertical="center"/>
    </xf>
    <xf numFmtId="164" fontId="0" fillId="0" borderId="0" xfId="0" applyNumberFormat="1"/>
    <xf numFmtId="0" fontId="25" fillId="0" borderId="1" xfId="0" applyFont="1" applyBorder="1" applyAlignment="1" applyProtection="1"/>
    <xf numFmtId="2" fontId="25" fillId="0" borderId="1" xfId="0" applyNumberFormat="1" applyFont="1" applyBorder="1" applyAlignment="1" applyProtection="1">
      <alignment horizontal="left" vertical="top"/>
    </xf>
    <xf numFmtId="1" fontId="25" fillId="0" borderId="1" xfId="0" applyNumberFormat="1" applyFont="1" applyBorder="1" applyAlignment="1" applyProtection="1">
      <alignment horizontal="left" vertical="top"/>
    </xf>
    <xf numFmtId="0" fontId="24" fillId="0" borderId="0" xfId="0" applyFont="1" applyBorder="1" applyProtection="1"/>
    <xf numFmtId="0" fontId="30" fillId="0" borderId="1" xfId="0" applyFont="1" applyBorder="1" applyProtection="1"/>
    <xf numFmtId="0" fontId="22" fillId="0" borderId="1" xfId="0" applyFont="1" applyFill="1" applyBorder="1" applyProtection="1"/>
    <xf numFmtId="0" fontId="22" fillId="0" borderId="1" xfId="0" applyFont="1" applyFill="1" applyBorder="1" applyAlignment="1" applyProtection="1">
      <alignment horizontal="left" vertical="top"/>
    </xf>
    <xf numFmtId="164" fontId="22" fillId="0" borderId="1" xfId="0" applyNumberFormat="1" applyFont="1" applyFill="1" applyBorder="1" applyProtection="1"/>
    <xf numFmtId="0" fontId="22" fillId="0" borderId="1" xfId="0" applyFont="1" applyFill="1" applyBorder="1" applyAlignment="1" applyProtection="1">
      <alignment horizontal="left" wrapText="1"/>
    </xf>
    <xf numFmtId="0" fontId="50" fillId="0" borderId="1" xfId="0" applyFont="1" applyFill="1" applyBorder="1" applyAlignment="1">
      <alignment wrapText="1"/>
    </xf>
    <xf numFmtId="0" fontId="50" fillId="0" borderId="1" xfId="0" applyFont="1" applyBorder="1" applyAlignment="1">
      <alignment wrapText="1"/>
    </xf>
    <xf numFmtId="0" fontId="31" fillId="0" borderId="1" xfId="1" applyFill="1" applyBorder="1"/>
    <xf numFmtId="0" fontId="0" fillId="0" borderId="0" xfId="0" applyAlignment="1">
      <alignment wrapText="1"/>
    </xf>
    <xf numFmtId="0" fontId="0" fillId="0" borderId="0" xfId="0" applyBorder="1" applyAlignment="1">
      <alignment horizontal="center" vertical="center"/>
    </xf>
    <xf numFmtId="0" fontId="51" fillId="0" borderId="0" xfId="1" applyFont="1"/>
    <xf numFmtId="164" fontId="31" fillId="0" borderId="0" xfId="1" applyNumberFormat="1" applyFont="1"/>
    <xf numFmtId="0" fontId="52" fillId="0" borderId="0" xfId="0" applyFont="1"/>
    <xf numFmtId="164" fontId="53" fillId="0" borderId="0" xfId="1" applyNumberFormat="1" applyFont="1"/>
    <xf numFmtId="0" fontId="53" fillId="0" borderId="0" xfId="1" applyFont="1"/>
    <xf numFmtId="0" fontId="0" fillId="0" borderId="0" xfId="0" applyBorder="1" applyAlignment="1"/>
    <xf numFmtId="0" fontId="1" fillId="0" borderId="3" xfId="0" applyFont="1" applyFill="1" applyBorder="1" applyAlignment="1">
      <alignment horizontal="left" wrapText="1"/>
    </xf>
    <xf numFmtId="0" fontId="0" fillId="0" borderId="5" xfId="0" applyBorder="1" applyAlignment="1">
      <alignment horizontal="left" wrapText="1"/>
    </xf>
    <xf numFmtId="0" fontId="1" fillId="0" borderId="0" xfId="0" applyFont="1" applyBorder="1" applyAlignment="1">
      <alignment horizontal="right" wrapText="1"/>
    </xf>
    <xf numFmtId="0" fontId="5" fillId="0" borderId="0" xfId="0" applyFont="1" applyBorder="1" applyAlignment="1">
      <alignment vertical="center"/>
    </xf>
    <xf numFmtId="0" fontId="1" fillId="0" borderId="0" xfId="0" applyFont="1" applyBorder="1" applyAlignment="1">
      <alignment horizontal="left" vertical="center" wrapText="1"/>
    </xf>
    <xf numFmtId="0" fontId="0" fillId="0" borderId="0" xfId="0" applyBorder="1" applyAlignment="1">
      <alignment horizontal="left"/>
    </xf>
    <xf numFmtId="0" fontId="55" fillId="0" borderId="0" xfId="0" applyFont="1" applyBorder="1"/>
    <xf numFmtId="164" fontId="0" fillId="0" borderId="0" xfId="0" applyNumberFormat="1" applyAlignment="1"/>
    <xf numFmtId="0" fontId="31" fillId="0" borderId="0" xfId="1" applyFill="1"/>
    <xf numFmtId="0" fontId="47" fillId="0" borderId="5" xfId="1" applyFont="1" applyBorder="1"/>
    <xf numFmtId="0" fontId="59" fillId="0" borderId="0" xfId="0" applyFont="1"/>
    <xf numFmtId="0" fontId="58" fillId="0" borderId="0" xfId="0" applyFont="1" applyFill="1" applyBorder="1" applyAlignment="1">
      <alignment horizontal="left" wrapText="1"/>
    </xf>
    <xf numFmtId="0" fontId="58" fillId="0" borderId="0" xfId="0" applyFont="1"/>
    <xf numFmtId="164" fontId="58" fillId="0" borderId="0" xfId="0" applyNumberFormat="1" applyFont="1"/>
    <xf numFmtId="0" fontId="0" fillId="0" borderId="0" xfId="0" applyAlignment="1">
      <alignment wrapText="1"/>
    </xf>
    <xf numFmtId="2" fontId="0" fillId="0" borderId="0" xfId="0" applyNumberFormat="1" applyFont="1"/>
    <xf numFmtId="0" fontId="36" fillId="0" borderId="0" xfId="1" applyFont="1" applyFill="1" applyBorder="1" applyAlignment="1">
      <alignment horizontal="left"/>
    </xf>
    <xf numFmtId="0" fontId="48" fillId="0" borderId="0" xfId="1" applyFont="1" applyFill="1" applyBorder="1"/>
    <xf numFmtId="0" fontId="60" fillId="0" borderId="0" xfId="0" applyFont="1" applyBorder="1"/>
    <xf numFmtId="0" fontId="49" fillId="0" borderId="0" xfId="0" applyFont="1"/>
    <xf numFmtId="0" fontId="31" fillId="0" borderId="1" xfId="1" applyFill="1" applyBorder="1"/>
    <xf numFmtId="0" fontId="32" fillId="0" borderId="1" xfId="1" applyFont="1" applyFill="1" applyBorder="1" applyAlignment="1" applyProtection="1">
      <alignment horizontal="center" vertical="center"/>
      <protection locked="0"/>
    </xf>
    <xf numFmtId="2" fontId="31" fillId="0" borderId="0" xfId="1" applyNumberFormat="1" applyFill="1" applyBorder="1" applyAlignment="1" applyProtection="1">
      <alignment horizontal="center" vertical="center"/>
      <protection locked="0"/>
    </xf>
    <xf numFmtId="0" fontId="32" fillId="0" borderId="0" xfId="1" applyFont="1" applyFill="1" applyBorder="1" applyAlignment="1" applyProtection="1">
      <protection locked="0"/>
    </xf>
    <xf numFmtId="0" fontId="31" fillId="0" borderId="0" xfId="1" applyFill="1" applyBorder="1" applyProtection="1">
      <protection locked="0"/>
    </xf>
    <xf numFmtId="0" fontId="32" fillId="0" borderId="1" xfId="1" applyFont="1" applyFill="1" applyBorder="1" applyProtection="1">
      <protection locked="0"/>
    </xf>
    <xf numFmtId="0" fontId="6" fillId="0" borderId="0" xfId="0" applyFont="1" applyFill="1" applyAlignment="1" applyProtection="1">
      <alignment horizontal="left" vertical="top" wrapText="1"/>
      <protection locked="0"/>
    </xf>
    <xf numFmtId="0" fontId="6" fillId="0" borderId="0" xfId="0" applyFont="1" applyFill="1" applyAlignment="1" applyProtection="1">
      <alignment horizontal="left" vertical="top"/>
      <protection locked="0"/>
    </xf>
    <xf numFmtId="2" fontId="53" fillId="0" borderId="0" xfId="1" applyNumberFormat="1" applyFont="1"/>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wrapText="1"/>
    </xf>
    <xf numFmtId="0" fontId="2" fillId="0" borderId="1" xfId="0" applyFont="1" applyFill="1" applyBorder="1" applyAlignment="1">
      <alignment wrapText="1"/>
    </xf>
    <xf numFmtId="0" fontId="2" fillId="0" borderId="1" xfId="0" applyFont="1" applyBorder="1" applyAlignment="1">
      <alignment wrapText="1"/>
    </xf>
    <xf numFmtId="0" fontId="2" fillId="0" borderId="1" xfId="0" applyFont="1" applyBorder="1" applyAlignment="1">
      <alignment horizontal="left" wrapText="1"/>
    </xf>
    <xf numFmtId="1" fontId="2" fillId="0" borderId="1" xfId="0" applyNumberFormat="1" applyFont="1" applyBorder="1" applyAlignment="1">
      <alignment wrapText="1"/>
    </xf>
    <xf numFmtId="164" fontId="2" fillId="0" borderId="1" xfId="0" applyNumberFormat="1" applyFont="1" applyBorder="1" applyAlignment="1">
      <alignment wrapText="1"/>
    </xf>
    <xf numFmtId="0" fontId="2" fillId="0" borderId="1" xfId="0" applyFont="1" applyFill="1" applyBorder="1" applyAlignment="1">
      <alignment horizontal="left" wrapText="1"/>
    </xf>
    <xf numFmtId="0" fontId="2" fillId="6" borderId="1" xfId="0" applyFont="1" applyFill="1" applyBorder="1" applyAlignment="1">
      <alignment horizontal="left" wrapText="1"/>
    </xf>
    <xf numFmtId="1" fontId="0" fillId="0" borderId="1" xfId="0" applyNumberFormat="1" applyBorder="1"/>
    <xf numFmtId="0" fontId="0" fillId="0" borderId="1" xfId="0" applyBorder="1" applyAlignment="1">
      <alignment horizontal="center" vertical="center" wrapText="1"/>
    </xf>
    <xf numFmtId="0" fontId="52" fillId="0" borderId="1" xfId="0" applyFont="1" applyBorder="1"/>
    <xf numFmtId="1" fontId="52" fillId="0" borderId="1" xfId="0" applyNumberFormat="1" applyFont="1" applyBorder="1"/>
    <xf numFmtId="0" fontId="31" fillId="0" borderId="0" xfId="1" applyFill="1" applyBorder="1" applyAlignment="1">
      <alignment wrapText="1"/>
    </xf>
    <xf numFmtId="164" fontId="31" fillId="0" borderId="0" xfId="1" applyNumberFormat="1" applyFill="1" applyBorder="1"/>
    <xf numFmtId="1" fontId="52" fillId="0" borderId="0" xfId="0" applyNumberFormat="1" applyFont="1" applyAlignment="1">
      <alignment horizontal="center" vertical="center"/>
    </xf>
    <xf numFmtId="1" fontId="31" fillId="0" borderId="0" xfId="1" applyNumberFormat="1" applyFill="1" applyBorder="1"/>
    <xf numFmtId="0" fontId="44" fillId="4" borderId="0" xfId="0" applyFont="1" applyFill="1"/>
    <xf numFmtId="1" fontId="31" fillId="0" borderId="0" xfId="1" applyNumberFormat="1" applyBorder="1"/>
    <xf numFmtId="0" fontId="46" fillId="0" borderId="1" xfId="0" applyFont="1" applyBorder="1" applyAlignment="1">
      <alignment horizontal="center" vertical="center" wrapText="1"/>
    </xf>
    <xf numFmtId="0" fontId="46" fillId="0" borderId="1" xfId="0" applyFont="1" applyBorder="1"/>
    <xf numFmtId="0" fontId="60" fillId="0" borderId="1" xfId="0" applyFont="1" applyBorder="1"/>
    <xf numFmtId="0" fontId="66" fillId="0" borderId="0" xfId="1" applyFont="1" applyFill="1" applyBorder="1"/>
    <xf numFmtId="0" fontId="31" fillId="0" borderId="0" xfId="1" applyFill="1" applyBorder="1" applyAlignment="1">
      <alignment horizontal="left" wrapText="1"/>
    </xf>
    <xf numFmtId="0" fontId="71" fillId="17" borderId="0" xfId="0" applyFont="1" applyFill="1" applyBorder="1" applyAlignment="1">
      <alignment horizontal="left" wrapText="1"/>
    </xf>
    <xf numFmtId="164" fontId="71" fillId="17" borderId="0" xfId="0" applyNumberFormat="1" applyFont="1" applyFill="1" applyBorder="1"/>
    <xf numFmtId="0" fontId="71" fillId="17" borderId="0" xfId="0" applyFont="1" applyFill="1" applyBorder="1"/>
    <xf numFmtId="0" fontId="70" fillId="17" borderId="0" xfId="1" applyFont="1" applyFill="1"/>
    <xf numFmtId="164" fontId="70" fillId="17" borderId="0" xfId="1" applyNumberFormat="1" applyFont="1" applyFill="1"/>
    <xf numFmtId="1" fontId="31" fillId="0" borderId="0" xfId="1" applyNumberFormat="1" applyFill="1" applyBorder="1" applyAlignment="1">
      <alignment horizontal="left"/>
    </xf>
    <xf numFmtId="0" fontId="31" fillId="0" borderId="0" xfId="1" applyFill="1" applyBorder="1" applyAlignment="1"/>
    <xf numFmtId="0" fontId="31" fillId="0" borderId="0" xfId="1" applyBorder="1" applyAlignment="1"/>
    <xf numFmtId="1" fontId="31" fillId="0" borderId="0" xfId="1" applyNumberFormat="1" applyFill="1" applyBorder="1" applyAlignment="1">
      <alignment horizontal="center" vertical="center" wrapText="1"/>
    </xf>
    <xf numFmtId="2" fontId="0" fillId="0" borderId="0" xfId="0" applyNumberFormat="1"/>
    <xf numFmtId="0" fontId="58" fillId="0" borderId="0" xfId="1" applyFont="1"/>
    <xf numFmtId="164" fontId="58" fillId="0" borderId="0" xfId="1" applyNumberFormat="1" applyFont="1"/>
    <xf numFmtId="0" fontId="32" fillId="0" borderId="0" xfId="1" applyFont="1" applyFill="1" applyBorder="1" applyAlignment="1">
      <alignment horizontal="right"/>
    </xf>
    <xf numFmtId="0" fontId="32" fillId="0" borderId="0" xfId="1" applyFont="1" applyAlignment="1">
      <alignment horizontal="right"/>
    </xf>
    <xf numFmtId="0" fontId="31" fillId="0" borderId="10" xfId="2" applyFont="1" applyFill="1" applyBorder="1" applyAlignment="1">
      <alignment horizontal="center" vertical="center"/>
    </xf>
    <xf numFmtId="0" fontId="38" fillId="0" borderId="6" xfId="2" applyFill="1" applyBorder="1" applyAlignment="1">
      <alignment horizontal="center" vertical="center"/>
    </xf>
    <xf numFmtId="0" fontId="38" fillId="0" borderId="11" xfId="2" applyFill="1" applyBorder="1" applyAlignment="1">
      <alignment horizontal="center" vertical="center"/>
    </xf>
    <xf numFmtId="0" fontId="38" fillId="0" borderId="7" xfId="2" applyFill="1" applyBorder="1" applyAlignment="1">
      <alignment horizontal="center" vertical="center"/>
    </xf>
    <xf numFmtId="0" fontId="38" fillId="0" borderId="0" xfId="2" applyFill="1" applyBorder="1" applyAlignment="1">
      <alignment horizontal="center" vertical="center"/>
    </xf>
    <xf numFmtId="0" fontId="38" fillId="0" borderId="10" xfId="2" applyFill="1" applyBorder="1" applyAlignment="1">
      <alignment horizontal="center" vertical="center"/>
    </xf>
    <xf numFmtId="0" fontId="31" fillId="0" borderId="0" xfId="1" applyAlignment="1">
      <alignment horizontal="right"/>
    </xf>
    <xf numFmtId="0" fontId="32" fillId="0" borderId="0" xfId="2" applyFont="1" applyFill="1" applyBorder="1" applyAlignment="1">
      <alignment horizontal="right"/>
    </xf>
    <xf numFmtId="0" fontId="44" fillId="0" borderId="0" xfId="0" applyFont="1" applyAlignment="1">
      <alignment horizontal="right"/>
    </xf>
    <xf numFmtId="0" fontId="34" fillId="0" borderId="0" xfId="2" applyFont="1" applyFill="1" applyBorder="1" applyAlignment="1">
      <alignment horizontal="center" vertical="center"/>
    </xf>
    <xf numFmtId="0" fontId="58" fillId="0" borderId="0" xfId="0" applyFont="1" applyAlignment="1">
      <alignment horizontal="right"/>
    </xf>
    <xf numFmtId="0" fontId="38" fillId="0" borderId="1" xfId="2" applyFill="1" applyBorder="1" applyAlignment="1">
      <alignment horizontal="center" vertical="center"/>
    </xf>
    <xf numFmtId="0" fontId="31" fillId="0" borderId="1" xfId="2" applyFont="1" applyFill="1" applyBorder="1" applyAlignment="1">
      <alignment horizontal="center" vertical="center"/>
    </xf>
    <xf numFmtId="0" fontId="34" fillId="0" borderId="0" xfId="1" applyFont="1" applyFill="1" applyBorder="1" applyAlignment="1">
      <alignment horizontal="center" vertical="center"/>
    </xf>
    <xf numFmtId="0" fontId="31" fillId="0" borderId="0" xfId="1" applyFont="1" applyFill="1" applyBorder="1" applyAlignment="1">
      <alignment horizontal="right"/>
    </xf>
    <xf numFmtId="0" fontId="31" fillId="0" borderId="0" xfId="1" applyBorder="1" applyAlignment="1">
      <alignment horizontal="right"/>
    </xf>
    <xf numFmtId="0" fontId="32" fillId="0" borderId="0" xfId="1" applyFont="1" applyFill="1" applyBorder="1" applyAlignment="1">
      <alignment horizontal="left"/>
    </xf>
    <xf numFmtId="0" fontId="32" fillId="0" borderId="0" xfId="1" applyFont="1" applyBorder="1" applyAlignment="1">
      <alignment horizontal="left"/>
    </xf>
    <xf numFmtId="0" fontId="32" fillId="0" borderId="0" xfId="1" applyFont="1" applyAlignment="1">
      <alignment horizontal="left"/>
    </xf>
    <xf numFmtId="0" fontId="72" fillId="0" borderId="0" xfId="1" applyFont="1" applyBorder="1" applyAlignment="1">
      <alignment wrapText="1"/>
    </xf>
    <xf numFmtId="0" fontId="31" fillId="0" borderId="1" xfId="1" applyFill="1" applyBorder="1" applyAlignment="1">
      <alignment horizontal="center" vertical="center"/>
    </xf>
    <xf numFmtId="0" fontId="0" fillId="0" borderId="1" xfId="0" applyBorder="1" applyAlignment="1">
      <alignment horizontal="center" vertical="center"/>
    </xf>
    <xf numFmtId="0" fontId="73" fillId="0" borderId="0" xfId="1" applyFont="1" applyFill="1" applyBorder="1" applyAlignment="1">
      <alignment horizontal="center" vertical="center" wrapText="1"/>
    </xf>
    <xf numFmtId="0" fontId="67" fillId="0" borderId="0" xfId="0" applyFont="1" applyAlignment="1">
      <alignment horizontal="center" vertical="center" wrapText="1"/>
    </xf>
    <xf numFmtId="0" fontId="32" fillId="0" borderId="1" xfId="1" applyFont="1" applyFill="1" applyBorder="1" applyAlignment="1">
      <alignment horizontal="center" vertical="center"/>
    </xf>
    <xf numFmtId="0" fontId="44" fillId="0" borderId="1" xfId="0" applyFont="1" applyBorder="1" applyAlignment="1">
      <alignment horizontal="center" vertical="center"/>
    </xf>
    <xf numFmtId="0" fontId="31" fillId="0" borderId="1" xfId="1" applyFill="1" applyBorder="1" applyAlignment="1"/>
    <xf numFmtId="0" fontId="31" fillId="0" borderId="1" xfId="1" applyBorder="1" applyAlignment="1"/>
    <xf numFmtId="0" fontId="34" fillId="0" borderId="0" xfId="1" applyFont="1" applyFill="1" applyBorder="1" applyAlignment="1"/>
    <xf numFmtId="0" fontId="34" fillId="0" borderId="0" xfId="1" applyFont="1" applyAlignment="1"/>
    <xf numFmtId="164" fontId="31" fillId="0" borderId="1" xfId="1" applyNumberFormat="1" applyFont="1" applyFill="1" applyBorder="1" applyAlignment="1">
      <alignment wrapText="1"/>
    </xf>
    <xf numFmtId="164" fontId="31" fillId="0" borderId="1" xfId="1" applyNumberFormat="1" applyFont="1" applyBorder="1" applyAlignment="1"/>
    <xf numFmtId="0" fontId="36" fillId="0" borderId="3" xfId="1" applyFont="1" applyFill="1" applyBorder="1" applyAlignment="1">
      <alignment horizontal="left" wrapText="1"/>
    </xf>
    <xf numFmtId="0" fontId="36" fillId="0" borderId="5" xfId="1" applyFont="1" applyBorder="1" applyAlignment="1">
      <alignment horizontal="left" wrapText="1"/>
    </xf>
    <xf numFmtId="0" fontId="53" fillId="0" borderId="0" xfId="1" applyFont="1" applyAlignment="1"/>
    <xf numFmtId="0" fontId="6" fillId="0" borderId="14" xfId="0" applyFont="1" applyBorder="1" applyAlignment="1"/>
    <xf numFmtId="0" fontId="63" fillId="0" borderId="0" xfId="1" applyFont="1" applyFill="1" applyBorder="1" applyAlignment="1">
      <alignment wrapText="1"/>
    </xf>
    <xf numFmtId="0" fontId="61" fillId="0" borderId="0" xfId="0" applyFont="1" applyAlignment="1"/>
    <xf numFmtId="0" fontId="31" fillId="0" borderId="0" xfId="1" applyFill="1" applyBorder="1" applyAlignment="1">
      <alignment horizontal="center" vertical="center"/>
    </xf>
    <xf numFmtId="0" fontId="33" fillId="0" borderId="1" xfId="1" applyFont="1" applyFill="1" applyBorder="1" applyAlignment="1">
      <alignment wrapText="1"/>
    </xf>
    <xf numFmtId="0" fontId="32" fillId="0" borderId="0" xfId="1" applyFont="1" applyFill="1" applyBorder="1" applyAlignment="1" applyProtection="1">
      <alignment horizontal="right"/>
      <protection locked="0"/>
    </xf>
    <xf numFmtId="0" fontId="32" fillId="0" borderId="0" xfId="1" applyFont="1" applyAlignment="1" applyProtection="1">
      <alignment horizontal="right"/>
      <protection locked="0"/>
    </xf>
    <xf numFmtId="0" fontId="31" fillId="0" borderId="1" xfId="1" applyFill="1" applyBorder="1" applyAlignment="1">
      <alignment horizontal="center"/>
    </xf>
    <xf numFmtId="0" fontId="31" fillId="0" borderId="1" xfId="1" applyFill="1" applyBorder="1" applyAlignment="1">
      <alignment horizontal="center" vertical="center" wrapText="1"/>
    </xf>
    <xf numFmtId="0" fontId="31" fillId="0" borderId="1" xfId="1" applyFill="1" applyBorder="1"/>
    <xf numFmtId="0" fontId="35" fillId="0" borderId="0" xfId="1" applyFont="1" applyAlignment="1"/>
    <xf numFmtId="0" fontId="57" fillId="0" borderId="0" xfId="1" applyFont="1" applyFill="1" applyBorder="1" applyAlignment="1">
      <alignment wrapText="1"/>
    </xf>
    <xf numFmtId="0" fontId="56" fillId="0" borderId="0" xfId="0" applyFont="1" applyAlignment="1"/>
    <xf numFmtId="0" fontId="31" fillId="0" borderId="0" xfId="1" applyFont="1" applyFill="1" applyBorder="1" applyAlignment="1"/>
    <xf numFmtId="0" fontId="31" fillId="0" borderId="8" xfId="1" applyFont="1" applyFill="1"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32" fillId="0" borderId="8" xfId="1" applyFont="1" applyFill="1" applyBorder="1" applyAlignment="1">
      <alignment horizontal="center" vertical="center"/>
    </xf>
    <xf numFmtId="0" fontId="34" fillId="0" borderId="2" xfId="1" applyFont="1" applyFill="1" applyBorder="1" applyAlignment="1"/>
    <xf numFmtId="0" fontId="31" fillId="0" borderId="3" xfId="1" applyFill="1" applyBorder="1" applyAlignment="1"/>
    <xf numFmtId="0" fontId="31" fillId="0" borderId="4" xfId="1" applyFill="1" applyBorder="1" applyAlignment="1"/>
    <xf numFmtId="0" fontId="31" fillId="0" borderId="5" xfId="1" applyFill="1" applyBorder="1" applyAlignment="1"/>
    <xf numFmtId="0" fontId="33" fillId="0" borderId="3" xfId="1" applyFont="1" applyFill="1" applyBorder="1" applyAlignment="1">
      <alignment wrapText="1"/>
    </xf>
    <xf numFmtId="0" fontId="33" fillId="0" borderId="5" xfId="1" applyFont="1" applyFill="1" applyBorder="1" applyAlignment="1">
      <alignment wrapText="1"/>
    </xf>
    <xf numFmtId="0" fontId="31" fillId="0" borderId="0" xfId="1" applyFill="1" applyBorder="1" applyAlignment="1"/>
    <xf numFmtId="0" fontId="0" fillId="0" borderId="0" xfId="0" applyAlignment="1"/>
    <xf numFmtId="0" fontId="48" fillId="0" borderId="0" xfId="1" applyFont="1" applyAlignment="1"/>
    <xf numFmtId="0" fontId="49" fillId="0" borderId="0" xfId="0" applyFont="1" applyAlignment="1"/>
    <xf numFmtId="0" fontId="31" fillId="0" borderId="10" xfId="1" applyFont="1" applyFill="1" applyBorder="1" applyAlignment="1">
      <alignment horizontal="center" vertical="center"/>
    </xf>
    <xf numFmtId="0" fontId="0" fillId="0" borderId="6" xfId="0" applyBorder="1" applyAlignment="1"/>
    <xf numFmtId="0" fontId="0" fillId="0" borderId="11" xfId="0" applyBorder="1" applyAlignment="1"/>
    <xf numFmtId="0" fontId="0" fillId="0" borderId="7" xfId="0" applyBorder="1" applyAlignment="1"/>
    <xf numFmtId="0" fontId="0" fillId="0" borderId="13" xfId="0" applyBorder="1" applyAlignment="1">
      <alignment horizontal="center" vertical="center"/>
    </xf>
    <xf numFmtId="0" fontId="54" fillId="0" borderId="0" xfId="0" applyFont="1" applyFill="1" applyBorder="1" applyAlignment="1">
      <alignment horizontal="left" wrapText="1"/>
    </xf>
    <xf numFmtId="0" fontId="55" fillId="0" borderId="0" xfId="0" applyFont="1" applyBorder="1" applyAlignment="1">
      <alignment horizontal="left" wrapText="1"/>
    </xf>
    <xf numFmtId="0" fontId="1" fillId="0" borderId="2" xfId="0" applyFont="1" applyBorder="1" applyAlignment="1"/>
    <xf numFmtId="164" fontId="0" fillId="0" borderId="0" xfId="0" applyNumberFormat="1" applyBorder="1" applyAlignment="1"/>
    <xf numFmtId="0" fontId="1" fillId="0" borderId="0" xfId="0" applyFont="1" applyBorder="1" applyAlignment="1">
      <alignment vertical="center" wrapText="1"/>
    </xf>
    <xf numFmtId="0" fontId="0" fillId="0" borderId="0" xfId="0" applyBorder="1" applyAlignment="1"/>
    <xf numFmtId="164" fontId="0" fillId="0" borderId="0" xfId="0" applyNumberFormat="1" applyAlignment="1"/>
    <xf numFmtId="0" fontId="1" fillId="0" borderId="3" xfId="0" applyFont="1" applyFill="1" applyBorder="1" applyAlignment="1">
      <alignment horizontal="left" wrapText="1"/>
    </xf>
    <xf numFmtId="0" fontId="0" fillId="0" borderId="5" xfId="0" applyBorder="1" applyAlignment="1">
      <alignment horizontal="left" wrapText="1"/>
    </xf>
    <xf numFmtId="0" fontId="64" fillId="0" borderId="0" xfId="0" applyFont="1" applyAlignment="1">
      <alignment horizontal="left" vertical="center" wrapText="1"/>
    </xf>
    <xf numFmtId="0" fontId="65" fillId="0" borderId="0" xfId="0" applyFont="1" applyAlignment="1">
      <alignment horizontal="left"/>
    </xf>
    <xf numFmtId="0" fontId="30" fillId="0" borderId="0" xfId="0" applyFont="1" applyAlignment="1">
      <alignment horizontal="left"/>
    </xf>
    <xf numFmtId="0" fontId="30" fillId="0" borderId="0" xfId="0" applyFont="1" applyAlignment="1"/>
    <xf numFmtId="0" fontId="32" fillId="0" borderId="1" xfId="1" applyFont="1" applyFill="1" applyBorder="1" applyAlignment="1" applyProtection="1">
      <alignment horizontal="center" vertical="center"/>
      <protection locked="0"/>
    </xf>
    <xf numFmtId="0" fontId="44" fillId="0" borderId="1" xfId="0" applyFont="1" applyBorder="1" applyAlignment="1" applyProtection="1">
      <alignment horizontal="center" vertical="center"/>
      <protection locked="0"/>
    </xf>
    <xf numFmtId="0" fontId="68" fillId="0" borderId="13" xfId="1" applyFont="1" applyFill="1" applyBorder="1" applyAlignment="1">
      <alignment horizontal="center" vertical="center" wrapText="1"/>
    </xf>
    <xf numFmtId="0" fontId="69" fillId="0" borderId="13" xfId="0" applyFont="1" applyBorder="1" applyAlignment="1">
      <alignment horizontal="center" vertical="center" wrapText="1"/>
    </xf>
    <xf numFmtId="0" fontId="32" fillId="0" borderId="0" xfId="1" applyFont="1" applyFill="1" applyBorder="1" applyAlignment="1" applyProtection="1">
      <alignment horizontal="left"/>
      <protection locked="0"/>
    </xf>
    <xf numFmtId="0" fontId="32" fillId="0" borderId="0" xfId="1" applyFont="1" applyAlignment="1" applyProtection="1">
      <alignment horizontal="left"/>
      <protection locked="0"/>
    </xf>
    <xf numFmtId="0" fontId="19" fillId="0" borderId="2" xfId="0" applyFont="1" applyBorder="1" applyAlignment="1"/>
    <xf numFmtId="0" fontId="0" fillId="0" borderId="2" xfId="0" applyBorder="1" applyAlignment="1"/>
    <xf numFmtId="164" fontId="31" fillId="0" borderId="0" xfId="1" applyNumberFormat="1" applyFill="1" applyBorder="1" applyAlignment="1"/>
    <xf numFmtId="0" fontId="67" fillId="0" borderId="0" xfId="0" applyFont="1" applyAlignment="1"/>
    <xf numFmtId="0" fontId="3" fillId="0" borderId="1" xfId="0" applyFont="1" applyBorder="1" applyAlignment="1">
      <alignment horizontal="center" vertical="center" wrapText="1"/>
    </xf>
    <xf numFmtId="2" fontId="52" fillId="0" borderId="0" xfId="0" applyNumberFormat="1" applyFont="1" applyAlignment="1">
      <alignment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 fontId="2" fillId="0" borderId="3" xfId="0" applyNumberFormat="1" applyFont="1" applyBorder="1" applyAlignment="1">
      <alignment vertical="center"/>
    </xf>
    <xf numFmtId="0" fontId="45" fillId="0" borderId="5" xfId="0" applyFont="1" applyBorder="1" applyAlignment="1"/>
    <xf numFmtId="164" fontId="2" fillId="0" borderId="3" xfId="0" applyNumberFormat="1" applyFont="1" applyFill="1" applyBorder="1" applyAlignment="1">
      <alignment wrapText="1"/>
    </xf>
    <xf numFmtId="0" fontId="45" fillId="0" borderId="5" xfId="0" applyFont="1" applyFill="1" applyBorder="1" applyAlignment="1">
      <alignment wrapText="1"/>
    </xf>
    <xf numFmtId="164" fontId="2" fillId="6" borderId="3" xfId="0" applyNumberFormat="1" applyFont="1" applyFill="1" applyBorder="1" applyAlignment="1">
      <alignment wrapText="1"/>
    </xf>
    <xf numFmtId="0" fontId="45" fillId="6" borderId="5" xfId="0" applyFont="1" applyFill="1" applyBorder="1" applyAlignment="1">
      <alignment wrapText="1"/>
    </xf>
    <xf numFmtId="0" fontId="19" fillId="6" borderId="2" xfId="1" applyFont="1" applyFill="1" applyBorder="1" applyAlignment="1">
      <alignment horizontal="center" vertical="center"/>
    </xf>
    <xf numFmtId="0" fontId="14" fillId="5" borderId="2" xfId="1" applyFont="1" applyFill="1" applyBorder="1" applyAlignment="1">
      <alignment horizontal="center" vertical="center"/>
    </xf>
    <xf numFmtId="0" fontId="11" fillId="8" borderId="0" xfId="1" applyFont="1" applyFill="1" applyAlignment="1">
      <alignment horizontal="center" vertical="center" wrapText="1"/>
    </xf>
    <xf numFmtId="0" fontId="31" fillId="0" borderId="0" xfId="1" applyAlignment="1"/>
    <xf numFmtId="0" fontId="37" fillId="9" borderId="0" xfId="1" applyFont="1" applyFill="1" applyBorder="1" applyAlignment="1">
      <alignment horizontal="center"/>
    </xf>
    <xf numFmtId="0" fontId="37" fillId="9" borderId="0" xfId="1" applyFont="1" applyFill="1" applyAlignment="1">
      <alignment horizontal="center"/>
    </xf>
    <xf numFmtId="0" fontId="37" fillId="11" borderId="0" xfId="1" applyFont="1" applyFill="1" applyAlignment="1">
      <alignment horizontal="center" vertical="center"/>
    </xf>
    <xf numFmtId="0" fontId="46" fillId="11" borderId="0" xfId="0" applyFont="1" applyFill="1" applyAlignment="1">
      <alignment horizontal="center" vertical="center"/>
    </xf>
    <xf numFmtId="0" fontId="14" fillId="16" borderId="2" xfId="1" applyFont="1" applyFill="1" applyBorder="1" applyAlignment="1">
      <alignment horizontal="center" vertical="center" wrapText="1"/>
    </xf>
    <xf numFmtId="0" fontId="11" fillId="12" borderId="0" xfId="1" applyFont="1" applyFill="1" applyAlignment="1">
      <alignment horizontal="center" vertical="center" wrapText="1"/>
    </xf>
    <xf numFmtId="0" fontId="47" fillId="15" borderId="0" xfId="1" applyFont="1" applyFill="1" applyAlignment="1">
      <alignment horizontal="center" wrapText="1"/>
    </xf>
    <xf numFmtId="0" fontId="0" fillId="15" borderId="0" xfId="0" applyFill="1" applyAlignment="1">
      <alignment wrapText="1"/>
    </xf>
    <xf numFmtId="0" fontId="0" fillId="15" borderId="0" xfId="0" applyFill="1" applyBorder="1" applyAlignment="1">
      <alignment wrapText="1"/>
    </xf>
    <xf numFmtId="0" fontId="47" fillId="14" borderId="0" xfId="1" applyFont="1" applyFill="1" applyAlignment="1">
      <alignment horizontal="center" wrapText="1"/>
    </xf>
    <xf numFmtId="0" fontId="0" fillId="0" borderId="0" xfId="0" applyAlignment="1">
      <alignment wrapText="1"/>
    </xf>
    <xf numFmtId="0" fontId="0" fillId="0" borderId="2" xfId="0" applyBorder="1" applyAlignment="1">
      <alignment wrapText="1"/>
    </xf>
    <xf numFmtId="0" fontId="11" fillId="13" borderId="0" xfId="1" applyFont="1" applyFill="1" applyAlignment="1">
      <alignment horizontal="center" vertical="center" wrapText="1"/>
    </xf>
    <xf numFmtId="0" fontId="31" fillId="13" borderId="0" xfId="1" applyFill="1" applyAlignment="1"/>
    <xf numFmtId="0" fontId="3" fillId="0" borderId="0" xfId="0" applyFont="1" applyBorder="1" applyAlignment="1" applyProtection="1">
      <alignment horizontal="left" vertical="center" wrapText="1"/>
      <protection locked="0"/>
    </xf>
    <xf numFmtId="0" fontId="13" fillId="0" borderId="0" xfId="0" applyFont="1" applyBorder="1" applyAlignment="1" applyProtection="1">
      <alignment horizontal="center" vertical="center" wrapText="1"/>
      <protection locked="0"/>
    </xf>
    <xf numFmtId="0" fontId="6" fillId="0" borderId="0" xfId="0" applyFont="1" applyBorder="1" applyAlignment="1" applyProtection="1">
      <protection locked="0"/>
    </xf>
    <xf numFmtId="0" fontId="6" fillId="0" borderId="0" xfId="0" applyFont="1" applyBorder="1" applyAlignment="1"/>
    <xf numFmtId="0" fontId="6" fillId="0" borderId="0" xfId="0" applyFont="1" applyFill="1" applyAlignment="1" applyProtection="1">
      <alignment horizontal="left" vertical="top" wrapText="1"/>
      <protection locked="0"/>
    </xf>
    <xf numFmtId="2" fontId="24" fillId="0" borderId="2" xfId="0" applyNumberFormat="1" applyFont="1" applyBorder="1" applyAlignment="1" applyProtection="1">
      <alignment wrapText="1"/>
      <protection locked="0"/>
    </xf>
    <xf numFmtId="0" fontId="9" fillId="0" borderId="0" xfId="0" applyFont="1" applyBorder="1" applyAlignment="1" applyProtection="1">
      <alignment vertical="center" wrapText="1"/>
      <protection locked="0"/>
    </xf>
    <xf numFmtId="0" fontId="9" fillId="0" borderId="0" xfId="0" applyFont="1" applyBorder="1" applyAlignment="1">
      <alignment vertical="center" wrapText="1"/>
    </xf>
    <xf numFmtId="164" fontId="7" fillId="0" borderId="0" xfId="0" applyNumberFormat="1" applyFont="1" applyBorder="1" applyAlignment="1" applyProtection="1">
      <protection locked="0"/>
    </xf>
    <xf numFmtId="164" fontId="7" fillId="0" borderId="0" xfId="0" applyNumberFormat="1" applyFont="1" applyBorder="1" applyAlignment="1"/>
    <xf numFmtId="0" fontId="61" fillId="0" borderId="0" xfId="0" applyFont="1" applyFill="1" applyAlignment="1" applyProtection="1">
      <alignment horizontal="right"/>
      <protection locked="0"/>
    </xf>
    <xf numFmtId="0" fontId="61" fillId="0" borderId="0" xfId="0" applyFont="1" applyAlignment="1">
      <alignment horizontal="right"/>
    </xf>
    <xf numFmtId="0" fontId="64" fillId="0" borderId="0" xfId="0" applyFont="1" applyAlignment="1">
      <alignment wrapText="1"/>
    </xf>
    <xf numFmtId="0" fontId="13" fillId="0" borderId="1" xfId="0" applyFont="1" applyBorder="1" applyAlignment="1" applyProtection="1">
      <alignment horizontal="center" vertical="center" wrapText="1"/>
      <protection locked="0"/>
    </xf>
    <xf numFmtId="0" fontId="22" fillId="0" borderId="3" xfId="0" applyFont="1" applyBorder="1" applyAlignment="1" applyProtection="1">
      <alignment horizontal="center" vertical="center"/>
      <protection locked="0"/>
    </xf>
    <xf numFmtId="0" fontId="22" fillId="0" borderId="4" xfId="0" applyFont="1" applyBorder="1" applyAlignment="1" applyProtection="1">
      <alignment horizontal="center" vertical="center"/>
      <protection locked="0"/>
    </xf>
    <xf numFmtId="0" fontId="22" fillId="0" borderId="5" xfId="0" applyFont="1" applyBorder="1" applyAlignment="1" applyProtection="1">
      <alignment horizontal="center" vertical="center"/>
      <protection locked="0"/>
    </xf>
    <xf numFmtId="0" fontId="25" fillId="0" borderId="3" xfId="0" applyNumberFormat="1" applyFont="1" applyBorder="1" applyAlignment="1" applyProtection="1">
      <alignment horizontal="center" wrapText="1"/>
      <protection locked="0"/>
    </xf>
    <xf numFmtId="0" fontId="25" fillId="0" borderId="5" xfId="0" applyFont="1" applyBorder="1" applyAlignment="1">
      <alignment horizontal="center" wrapText="1"/>
    </xf>
    <xf numFmtId="0" fontId="23" fillId="0" borderId="3" xfId="0" applyFont="1" applyBorder="1" applyAlignment="1" applyProtection="1">
      <alignment horizontal="center"/>
      <protection locked="0"/>
    </xf>
    <xf numFmtId="0" fontId="23" fillId="0" borderId="5" xfId="0" applyFont="1" applyBorder="1" applyAlignment="1" applyProtection="1">
      <alignment horizontal="center"/>
      <protection locked="0"/>
    </xf>
    <xf numFmtId="0" fontId="25" fillId="0" borderId="8" xfId="0" applyFont="1" applyFill="1" applyBorder="1" applyAlignment="1" applyProtection="1">
      <alignment horizontal="center" vertical="center" wrapText="1"/>
      <protection locked="0"/>
    </xf>
    <xf numFmtId="0" fontId="25" fillId="0" borderId="9" xfId="0" applyFont="1" applyFill="1" applyBorder="1" applyAlignment="1" applyProtection="1">
      <alignment horizontal="center" vertical="center" wrapText="1"/>
      <protection locked="0"/>
    </xf>
    <xf numFmtId="0" fontId="27" fillId="0" borderId="0" xfId="0" applyFont="1" applyBorder="1" applyAlignment="1" applyProtection="1">
      <alignment horizontal="center" vertical="center" wrapText="1"/>
      <protection locked="0"/>
    </xf>
    <xf numFmtId="0" fontId="27" fillId="0" borderId="0" xfId="0" applyFont="1" applyBorder="1" applyAlignment="1" applyProtection="1">
      <alignment horizontal="center" vertical="center"/>
      <protection locked="0"/>
    </xf>
    <xf numFmtId="0" fontId="28"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protection locked="0"/>
    </xf>
    <xf numFmtId="0" fontId="62" fillId="0" borderId="0" xfId="0" applyNumberFormat="1" applyFont="1" applyBorder="1" applyAlignment="1" applyProtection="1">
      <alignment horizontal="center" wrapText="1"/>
      <protection locked="0"/>
    </xf>
    <xf numFmtId="0" fontId="52" fillId="0" borderId="0" xfId="0" applyFont="1" applyAlignment="1">
      <alignment horizontal="center"/>
    </xf>
    <xf numFmtId="0" fontId="3" fillId="0" borderId="2"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0" fontId="6" fillId="0" borderId="2" xfId="0" applyFont="1" applyBorder="1" applyAlignment="1" applyProtection="1">
      <protection locked="0"/>
    </xf>
    <xf numFmtId="0" fontId="6" fillId="0" borderId="2" xfId="0" applyFont="1" applyBorder="1" applyAlignment="1"/>
    <xf numFmtId="0" fontId="9" fillId="0" borderId="8" xfId="0" applyFont="1" applyBorder="1" applyAlignment="1" applyProtection="1">
      <alignment vertical="center" wrapText="1"/>
      <protection locked="0"/>
    </xf>
    <xf numFmtId="0" fontId="9" fillId="0" borderId="9" xfId="0" applyFont="1" applyBorder="1" applyAlignment="1">
      <alignment vertical="center" wrapText="1"/>
    </xf>
    <xf numFmtId="164" fontId="7" fillId="0" borderId="6" xfId="0" applyNumberFormat="1" applyFont="1" applyBorder="1" applyAlignment="1" applyProtection="1">
      <protection locked="0"/>
    </xf>
    <xf numFmtId="164" fontId="7" fillId="0" borderId="7" xfId="0" applyNumberFormat="1" applyFont="1" applyBorder="1" applyAlignment="1"/>
    <xf numFmtId="0" fontId="0" fillId="0" borderId="0" xfId="0" applyAlignment="1">
      <alignment horizontal="center" vertical="center"/>
    </xf>
    <xf numFmtId="0" fontId="17" fillId="0" borderId="0" xfId="0" applyFont="1" applyFill="1" applyBorder="1" applyAlignment="1">
      <alignment horizontal="center" vertical="center" wrapText="1"/>
    </xf>
    <xf numFmtId="0" fontId="18" fillId="0" borderId="0" xfId="0" applyFont="1" applyAlignment="1">
      <alignment horizontal="center" vertical="center" wrapText="1"/>
    </xf>
    <xf numFmtId="0" fontId="1" fillId="6" borderId="0" xfId="0" applyFont="1" applyFill="1" applyBorder="1" applyAlignment="1">
      <alignment horizontal="center" vertical="center" wrapText="1"/>
    </xf>
    <xf numFmtId="0" fontId="0" fillId="6" borderId="0" xfId="0" applyFill="1" applyAlignment="1">
      <alignment horizontal="center" vertical="center"/>
    </xf>
    <xf numFmtId="2" fontId="1" fillId="6" borderId="3" xfId="0" applyNumberFormat="1" applyFont="1" applyFill="1" applyBorder="1" applyAlignment="1">
      <alignment horizontal="center" vertical="center" wrapText="1"/>
    </xf>
    <xf numFmtId="0" fontId="0" fillId="0" borderId="5" xfId="0" applyBorder="1" applyAlignment="1"/>
    <xf numFmtId="0" fontId="41" fillId="10" borderId="0" xfId="0" applyFont="1" applyFill="1" applyAlignment="1">
      <alignment horizontal="center" vertical="center"/>
    </xf>
    <xf numFmtId="1" fontId="42" fillId="0" borderId="3" xfId="0" applyNumberFormat="1" applyFont="1" applyBorder="1" applyAlignment="1">
      <alignment vertical="center"/>
    </xf>
    <xf numFmtId="0" fontId="43" fillId="0" borderId="5" xfId="0" applyFont="1" applyBorder="1" applyAlignment="1"/>
    <xf numFmtId="164" fontId="42" fillId="6" borderId="3" xfId="0" applyNumberFormat="1" applyFont="1" applyFill="1" applyBorder="1" applyAlignment="1">
      <alignment wrapText="1"/>
    </xf>
    <xf numFmtId="0" fontId="43" fillId="0" borderId="5" xfId="0" applyFont="1" applyBorder="1" applyAlignment="1">
      <alignment wrapText="1"/>
    </xf>
    <xf numFmtId="164" fontId="42" fillId="5" borderId="3" xfId="0" applyNumberFormat="1" applyFont="1" applyFill="1" applyBorder="1" applyAlignment="1">
      <alignment wrapText="1"/>
    </xf>
    <xf numFmtId="164" fontId="43" fillId="0" borderId="5" xfId="0" applyNumberFormat="1" applyFont="1" applyBorder="1" applyAlignment="1">
      <alignment wrapText="1"/>
    </xf>
    <xf numFmtId="0" fontId="7" fillId="0" borderId="0" xfId="0" applyFont="1" applyFill="1" applyBorder="1" applyAlignment="1">
      <alignment horizontal="center" vertical="center" wrapText="1"/>
    </xf>
    <xf numFmtId="0" fontId="8" fillId="0" borderId="0" xfId="0" applyFont="1" applyAlignment="1">
      <alignment horizontal="center" vertical="center" wrapText="1"/>
    </xf>
    <xf numFmtId="0" fontId="0" fillId="0" borderId="14" xfId="0" applyBorder="1" applyAlignment="1">
      <alignment wrapText="1"/>
    </xf>
    <xf numFmtId="164" fontId="0" fillId="0" borderId="14" xfId="0" applyNumberFormat="1" applyBorder="1" applyAlignment="1"/>
    <xf numFmtId="0" fontId="0" fillId="0" borderId="14" xfId="0" applyBorder="1" applyAlignment="1"/>
    <xf numFmtId="0" fontId="41" fillId="18" borderId="0" xfId="0" applyFont="1" applyFill="1" applyAlignment="1">
      <alignment horizontal="center" vertical="center"/>
    </xf>
    <xf numFmtId="0" fontId="0" fillId="0" borderId="3" xfId="0" applyBorder="1" applyAlignment="1"/>
    <xf numFmtId="0" fontId="11" fillId="8" borderId="0" xfId="0" applyFont="1" applyFill="1" applyAlignment="1">
      <alignment horizontal="center" vertical="center" wrapText="1"/>
    </xf>
    <xf numFmtId="0" fontId="14" fillId="5" borderId="2" xfId="0" applyFont="1" applyFill="1" applyBorder="1" applyAlignment="1">
      <alignment horizontal="center" vertical="center"/>
    </xf>
    <xf numFmtId="0" fontId="1" fillId="0" borderId="0" xfId="0" applyFont="1" applyBorder="1" applyAlignment="1">
      <alignment horizontal="center" vertical="center" wrapText="1"/>
    </xf>
    <xf numFmtId="0" fontId="0" fillId="0" borderId="0" xfId="0" applyBorder="1" applyAlignment="1">
      <alignment horizontal="center" vertical="center"/>
    </xf>
    <xf numFmtId="0" fontId="11" fillId="0" borderId="1" xfId="0" applyFont="1" applyFill="1" applyBorder="1" applyAlignment="1">
      <alignment horizontal="center" vertical="center" wrapText="1"/>
    </xf>
    <xf numFmtId="0" fontId="5" fillId="0" borderId="3" xfId="0" applyFont="1" applyBorder="1" applyAlignment="1">
      <alignment horizontal="center" vertical="center"/>
    </xf>
    <xf numFmtId="0" fontId="0" fillId="0" borderId="4" xfId="0" applyBorder="1" applyAlignment="1">
      <alignment horizontal="center"/>
    </xf>
    <xf numFmtId="0" fontId="0" fillId="0" borderId="5" xfId="0" applyBorder="1" applyAlignment="1">
      <alignment horizontal="center"/>
    </xf>
    <xf numFmtId="0" fontId="19" fillId="6" borderId="2" xfId="0" applyFont="1" applyFill="1" applyBorder="1" applyAlignment="1">
      <alignment horizontal="center" vertical="center"/>
    </xf>
    <xf numFmtId="0" fontId="14" fillId="7" borderId="0" xfId="0" applyFont="1" applyFill="1" applyAlignment="1">
      <alignment horizontal="center" vertical="center"/>
    </xf>
    <xf numFmtId="0" fontId="3" fillId="0" borderId="2" xfId="0" applyFont="1" applyBorder="1" applyAlignment="1">
      <alignment horizontal="center" vertical="center" wrapText="1"/>
    </xf>
    <xf numFmtId="0" fontId="4" fillId="0" borderId="2" xfId="0" applyFont="1" applyBorder="1" applyAlignment="1">
      <alignment horizontal="center" vertical="center"/>
    </xf>
    <xf numFmtId="0" fontId="3" fillId="0" borderId="1" xfId="0" applyFont="1" applyBorder="1" applyAlignment="1">
      <alignment horizontal="left" vertical="center" wrapText="1"/>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152400</xdr:colOff>
      <xdr:row>0</xdr:row>
      <xdr:rowOff>142875</xdr:rowOff>
    </xdr:from>
    <xdr:ext cx="1085851" cy="384420"/>
    <xdr:pic>
      <xdr:nvPicPr>
        <xdr:cNvPr id="2" name="Imag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42875"/>
          <a:ext cx="1085851" cy="3844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9</xdr:col>
      <xdr:colOff>161925</xdr:colOff>
      <xdr:row>0</xdr:row>
      <xdr:rowOff>95250</xdr:rowOff>
    </xdr:from>
    <xdr:ext cx="1085851" cy="384420"/>
    <xdr:pic>
      <xdr:nvPicPr>
        <xdr:cNvPr id="3" name="Image 2">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01150" y="95250"/>
          <a:ext cx="1085851" cy="3844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8</xdr:col>
      <xdr:colOff>409575</xdr:colOff>
      <xdr:row>1</xdr:row>
      <xdr:rowOff>76200</xdr:rowOff>
    </xdr:from>
    <xdr:ext cx="1085851" cy="384420"/>
    <xdr:pic>
      <xdr:nvPicPr>
        <xdr:cNvPr id="5" name="Imag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91450" y="238125"/>
          <a:ext cx="1085851" cy="3844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209550</xdr:colOff>
      <xdr:row>0</xdr:row>
      <xdr:rowOff>0</xdr:rowOff>
    </xdr:from>
    <xdr:ext cx="1085851" cy="384420"/>
    <xdr:pic>
      <xdr:nvPicPr>
        <xdr:cNvPr id="2" name="Image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0"/>
          <a:ext cx="1085851" cy="3844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10</xdr:col>
      <xdr:colOff>104643</xdr:colOff>
      <xdr:row>3</xdr:row>
      <xdr:rowOff>12965</xdr:rowOff>
    </xdr:from>
    <xdr:ext cx="1085851" cy="384420"/>
    <xdr:pic>
      <xdr:nvPicPr>
        <xdr:cNvPr id="3" name="Image 2">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06188" y="584465"/>
          <a:ext cx="1085851" cy="3844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7"/>
  <dimension ref="A1:K43"/>
  <sheetViews>
    <sheetView showGridLines="0" zoomScale="85" workbookViewId="0">
      <selection activeCell="A4" sqref="A4"/>
    </sheetView>
  </sheetViews>
  <sheetFormatPr baseColWidth="10" defaultColWidth="11.42578125" defaultRowHeight="12.75" x14ac:dyDescent="0.2"/>
  <cols>
    <col min="1" max="1" width="11.42578125" style="191"/>
    <col min="2" max="2" width="14.28515625" style="191" customWidth="1"/>
    <col min="3" max="16384" width="11.42578125" style="191"/>
  </cols>
  <sheetData>
    <row r="1" spans="1:11" x14ac:dyDescent="0.2">
      <c r="A1" s="193"/>
      <c r="B1" s="193"/>
      <c r="C1" s="193"/>
      <c r="D1" s="193"/>
      <c r="E1" s="193"/>
      <c r="F1" s="193"/>
      <c r="G1" s="193"/>
      <c r="H1" s="193"/>
      <c r="I1" s="193"/>
      <c r="J1" s="193"/>
      <c r="K1" s="192"/>
    </row>
    <row r="2" spans="1:11" x14ac:dyDescent="0.2">
      <c r="A2" s="193"/>
      <c r="B2" s="193"/>
      <c r="C2" s="193"/>
      <c r="D2" s="193"/>
      <c r="E2" s="193"/>
      <c r="F2" s="193"/>
      <c r="G2" s="193"/>
      <c r="H2" s="193"/>
      <c r="I2" s="193"/>
      <c r="J2" s="193"/>
      <c r="K2" s="192"/>
    </row>
    <row r="3" spans="1:11" x14ac:dyDescent="0.2">
      <c r="A3" s="193"/>
      <c r="B3" s="193"/>
      <c r="C3" s="193"/>
      <c r="D3" s="193"/>
      <c r="E3" s="193"/>
      <c r="F3" s="193"/>
      <c r="G3" s="193"/>
      <c r="H3" s="193"/>
      <c r="I3" s="193"/>
      <c r="J3" s="193"/>
      <c r="K3" s="192"/>
    </row>
    <row r="4" spans="1:11" x14ac:dyDescent="0.2">
      <c r="A4" s="193"/>
      <c r="B4" s="193"/>
      <c r="C4" s="193"/>
      <c r="D4" s="358" t="s">
        <v>117</v>
      </c>
      <c r="E4" s="358"/>
      <c r="F4" s="193"/>
      <c r="G4" s="355"/>
      <c r="H4" s="355"/>
      <c r="I4" s="347" t="s">
        <v>59</v>
      </c>
      <c r="J4" s="348"/>
      <c r="K4" s="192"/>
    </row>
    <row r="5" spans="1:11" x14ac:dyDescent="0.2">
      <c r="A5" s="193"/>
      <c r="B5" s="193"/>
      <c r="C5" s="193"/>
      <c r="D5" s="193"/>
      <c r="E5" s="193"/>
      <c r="F5" s="193"/>
      <c r="G5" s="193"/>
      <c r="H5" s="193"/>
      <c r="I5" s="193"/>
      <c r="J5" s="193"/>
      <c r="K5" s="192"/>
    </row>
    <row r="6" spans="1:11" ht="15" x14ac:dyDescent="0.25">
      <c r="A6" s="193"/>
      <c r="B6" s="193"/>
      <c r="C6" s="193"/>
      <c r="D6" s="193"/>
      <c r="E6" s="193"/>
      <c r="F6" s="193"/>
      <c r="G6" s="355"/>
      <c r="H6" s="355"/>
      <c r="I6" s="356" t="s">
        <v>106</v>
      </c>
      <c r="J6" s="357"/>
      <c r="K6" s="192"/>
    </row>
    <row r="7" spans="1:11" x14ac:dyDescent="0.2">
      <c r="A7" s="193"/>
      <c r="B7" s="193"/>
      <c r="C7" s="193"/>
      <c r="D7" s="193"/>
      <c r="E7" s="193"/>
      <c r="F7" s="193"/>
      <c r="G7" s="193"/>
      <c r="H7" s="193"/>
      <c r="I7" s="193"/>
      <c r="J7" s="193"/>
      <c r="K7" s="192"/>
    </row>
    <row r="8" spans="1:11" x14ac:dyDescent="0.2">
      <c r="A8" s="193"/>
      <c r="B8" s="193"/>
      <c r="C8" s="193"/>
      <c r="D8" s="193"/>
      <c r="E8" s="193"/>
      <c r="F8" s="193"/>
      <c r="G8" s="193"/>
      <c r="H8" s="193"/>
      <c r="I8" s="193"/>
      <c r="J8" s="193"/>
      <c r="K8" s="192"/>
    </row>
    <row r="9" spans="1:11" x14ac:dyDescent="0.2">
      <c r="A9" s="193"/>
      <c r="B9" s="193"/>
      <c r="C9" s="193"/>
      <c r="D9" s="193"/>
      <c r="E9" s="193"/>
      <c r="F9" s="193"/>
      <c r="G9" s="193"/>
      <c r="H9" s="193"/>
      <c r="I9" s="193"/>
      <c r="J9" s="193"/>
      <c r="K9" s="192"/>
    </row>
    <row r="10" spans="1:11" x14ac:dyDescent="0.2">
      <c r="A10" s="193"/>
      <c r="B10" s="193"/>
      <c r="C10" s="193"/>
      <c r="D10" s="193"/>
      <c r="E10" s="193"/>
      <c r="F10" s="193"/>
      <c r="G10" s="193"/>
      <c r="H10" s="193"/>
      <c r="I10" s="193"/>
      <c r="J10" s="193"/>
      <c r="K10" s="192"/>
    </row>
    <row r="11" spans="1:11" x14ac:dyDescent="0.2">
      <c r="A11" s="354" t="s">
        <v>116</v>
      </c>
      <c r="B11" s="350"/>
      <c r="C11" s="354">
        <v>200</v>
      </c>
      <c r="D11" s="350"/>
      <c r="E11" s="353"/>
      <c r="F11" s="353"/>
      <c r="G11" s="193"/>
      <c r="H11" s="193"/>
      <c r="I11" s="193"/>
      <c r="J11" s="193"/>
      <c r="K11" s="192"/>
    </row>
    <row r="12" spans="1:11" x14ac:dyDescent="0.2">
      <c r="A12" s="351"/>
      <c r="B12" s="352"/>
      <c r="C12" s="351"/>
      <c r="D12" s="352"/>
      <c r="E12" s="353"/>
      <c r="F12" s="353"/>
      <c r="G12" s="193"/>
      <c r="H12" s="193"/>
      <c r="I12" s="193"/>
      <c r="J12" s="193"/>
      <c r="K12" s="192"/>
    </row>
    <row r="13" spans="1:11" x14ac:dyDescent="0.2">
      <c r="A13" s="353"/>
      <c r="B13" s="353"/>
      <c r="C13" s="353"/>
      <c r="D13" s="353"/>
      <c r="E13" s="353"/>
      <c r="F13" s="353"/>
      <c r="G13" s="193"/>
      <c r="H13" s="193"/>
      <c r="I13" s="193"/>
      <c r="J13" s="193"/>
      <c r="K13" s="192"/>
    </row>
    <row r="14" spans="1:11" x14ac:dyDescent="0.2">
      <c r="A14" s="349" t="s">
        <v>128</v>
      </c>
      <c r="B14" s="350"/>
      <c r="C14" s="354">
        <v>120</v>
      </c>
      <c r="D14" s="350"/>
      <c r="E14" s="193"/>
      <c r="F14" s="193"/>
      <c r="G14" s="193"/>
      <c r="H14" s="193"/>
      <c r="I14" s="193"/>
      <c r="J14" s="193"/>
      <c r="K14" s="192"/>
    </row>
    <row r="15" spans="1:11" x14ac:dyDescent="0.2">
      <c r="A15" s="351"/>
      <c r="B15" s="352"/>
      <c r="C15" s="351"/>
      <c r="D15" s="352"/>
      <c r="E15" s="193"/>
      <c r="F15" s="193"/>
      <c r="G15" s="193"/>
      <c r="H15" s="193"/>
      <c r="I15" s="193"/>
      <c r="J15" s="193"/>
      <c r="K15" s="192"/>
    </row>
    <row r="16" spans="1:11" x14ac:dyDescent="0.2">
      <c r="A16" s="193"/>
      <c r="B16" s="193"/>
      <c r="C16" s="193"/>
      <c r="D16" s="193"/>
      <c r="E16" s="193"/>
      <c r="F16" s="193"/>
      <c r="G16" s="193"/>
      <c r="H16" s="193"/>
      <c r="I16" s="193"/>
      <c r="J16" s="193"/>
      <c r="K16" s="192"/>
    </row>
    <row r="17" spans="1:11" x14ac:dyDescent="0.2">
      <c r="A17" s="353"/>
      <c r="B17" s="353"/>
      <c r="C17" s="225"/>
      <c r="D17" s="226"/>
      <c r="E17" s="227"/>
      <c r="F17" s="223"/>
      <c r="G17" s="193"/>
      <c r="H17" s="193"/>
      <c r="I17" s="193"/>
      <c r="J17" s="193"/>
      <c r="K17" s="192"/>
    </row>
    <row r="18" spans="1:11" x14ac:dyDescent="0.2">
      <c r="A18" s="353"/>
      <c r="B18" s="353"/>
      <c r="C18" s="225"/>
      <c r="D18" s="226"/>
      <c r="E18" s="227"/>
      <c r="F18" s="224"/>
      <c r="G18" s="193"/>
      <c r="H18" s="193"/>
      <c r="I18" s="193"/>
      <c r="J18" s="193"/>
      <c r="K18" s="192"/>
    </row>
    <row r="19" spans="1:11" x14ac:dyDescent="0.2">
      <c r="A19" s="227"/>
      <c r="B19" s="227"/>
      <c r="C19" s="227"/>
      <c r="D19" s="227"/>
      <c r="E19" s="227"/>
      <c r="F19" s="193"/>
      <c r="G19" s="193"/>
      <c r="H19" s="193"/>
      <c r="I19" s="193"/>
      <c r="J19" s="193"/>
      <c r="K19" s="192"/>
    </row>
    <row r="20" spans="1:11" x14ac:dyDescent="0.2">
      <c r="A20" s="227"/>
      <c r="B20" s="227"/>
      <c r="C20" s="227"/>
      <c r="D20" s="227"/>
      <c r="E20" s="227"/>
      <c r="F20" s="193"/>
      <c r="G20" s="193"/>
      <c r="H20" s="193"/>
      <c r="I20" s="193"/>
      <c r="J20" s="193"/>
      <c r="K20" s="192"/>
    </row>
    <row r="21" spans="1:11" x14ac:dyDescent="0.2">
      <c r="A21" s="227"/>
      <c r="B21" s="227"/>
      <c r="C21" s="227"/>
      <c r="D21" s="227"/>
      <c r="E21" s="227"/>
      <c r="F21" s="193"/>
      <c r="G21" s="193"/>
      <c r="H21" s="193"/>
      <c r="I21" s="193"/>
      <c r="J21" s="193"/>
      <c r="K21" s="192"/>
    </row>
    <row r="22" spans="1:11" x14ac:dyDescent="0.2">
      <c r="A22" s="227"/>
      <c r="B22" s="227"/>
      <c r="C22" s="227"/>
      <c r="D22" s="227"/>
      <c r="E22" s="227"/>
      <c r="F22" s="193"/>
      <c r="G22" s="193"/>
      <c r="H22" s="193"/>
      <c r="I22" s="193"/>
      <c r="J22" s="193"/>
      <c r="K22" s="192"/>
    </row>
    <row r="23" spans="1:11" x14ac:dyDescent="0.2">
      <c r="A23" s="227"/>
      <c r="B23" s="227"/>
      <c r="C23" s="227"/>
      <c r="D23" s="227"/>
      <c r="E23" s="227"/>
      <c r="F23" s="193"/>
      <c r="G23" s="193"/>
      <c r="H23" s="193"/>
      <c r="I23" s="193"/>
      <c r="J23" s="193"/>
      <c r="K23" s="192"/>
    </row>
    <row r="24" spans="1:11" x14ac:dyDescent="0.2">
      <c r="A24" s="193"/>
      <c r="B24" s="193"/>
      <c r="C24" s="193"/>
      <c r="D24" s="193"/>
      <c r="E24" s="193"/>
      <c r="F24" s="193"/>
      <c r="G24" s="193"/>
      <c r="H24" s="193"/>
      <c r="I24" s="193"/>
      <c r="J24" s="193"/>
      <c r="K24" s="192"/>
    </row>
    <row r="25" spans="1:11" x14ac:dyDescent="0.2">
      <c r="A25" s="193"/>
      <c r="B25" s="193"/>
      <c r="C25" s="193"/>
      <c r="D25" s="193"/>
      <c r="E25" s="193"/>
      <c r="F25" s="193"/>
      <c r="G25" s="193"/>
      <c r="H25" s="193"/>
      <c r="I25" s="193"/>
      <c r="J25" s="193"/>
      <c r="K25" s="192"/>
    </row>
    <row r="26" spans="1:11" x14ac:dyDescent="0.2">
      <c r="A26" s="193"/>
      <c r="B26" s="193"/>
      <c r="C26" s="193"/>
      <c r="D26" s="193"/>
      <c r="E26" s="193"/>
      <c r="F26" s="193"/>
      <c r="G26" s="193"/>
      <c r="H26" s="193"/>
      <c r="I26" s="193"/>
      <c r="J26" s="193"/>
      <c r="K26" s="192"/>
    </row>
    <row r="27" spans="1:11" x14ac:dyDescent="0.2">
      <c r="A27" s="193"/>
      <c r="B27" s="193"/>
      <c r="C27" s="193"/>
      <c r="D27" s="193"/>
      <c r="E27" s="193"/>
      <c r="F27" s="193"/>
      <c r="G27" s="193"/>
      <c r="H27" s="193"/>
      <c r="I27" s="193"/>
      <c r="J27" s="193"/>
      <c r="K27" s="192"/>
    </row>
    <row r="28" spans="1:11" x14ac:dyDescent="0.2">
      <c r="A28" s="193"/>
      <c r="B28" s="193"/>
      <c r="C28" s="193"/>
      <c r="D28" s="193"/>
      <c r="E28" s="193"/>
      <c r="F28" s="193"/>
      <c r="G28" s="193"/>
      <c r="H28" s="193"/>
      <c r="I28" s="193"/>
      <c r="J28" s="193"/>
      <c r="K28" s="192"/>
    </row>
    <row r="29" spans="1:11" x14ac:dyDescent="0.2">
      <c r="A29" s="193"/>
      <c r="B29" s="193"/>
      <c r="C29" s="193"/>
      <c r="D29" s="193"/>
      <c r="E29" s="193"/>
      <c r="F29" s="193"/>
      <c r="G29" s="193"/>
      <c r="H29" s="193"/>
      <c r="I29" s="193"/>
      <c r="J29" s="193"/>
      <c r="K29" s="192"/>
    </row>
    <row r="30" spans="1:11" x14ac:dyDescent="0.2">
      <c r="A30" s="193"/>
      <c r="B30" s="193"/>
      <c r="C30" s="193"/>
      <c r="D30" s="193"/>
      <c r="E30" s="193"/>
      <c r="F30" s="193"/>
      <c r="G30" s="193"/>
      <c r="H30" s="193"/>
      <c r="I30" s="193"/>
      <c r="J30" s="193"/>
      <c r="K30" s="192"/>
    </row>
    <row r="31" spans="1:11" x14ac:dyDescent="0.2">
      <c r="A31" s="193"/>
      <c r="B31" s="193"/>
      <c r="C31" s="193"/>
      <c r="D31" s="193"/>
      <c r="E31" s="193"/>
      <c r="F31" s="193"/>
      <c r="G31" s="193"/>
      <c r="H31" s="193"/>
      <c r="I31" s="193"/>
      <c r="J31" s="193"/>
      <c r="K31" s="192"/>
    </row>
    <row r="32" spans="1:11" x14ac:dyDescent="0.2">
      <c r="A32" s="193"/>
      <c r="B32" s="193"/>
      <c r="C32" s="193"/>
      <c r="D32" s="193"/>
      <c r="E32" s="193"/>
      <c r="F32" s="193"/>
      <c r="G32" s="193"/>
      <c r="H32" s="193"/>
      <c r="I32" s="193"/>
      <c r="J32" s="193"/>
      <c r="K32" s="192"/>
    </row>
    <row r="33" spans="1:11" x14ac:dyDescent="0.2">
      <c r="A33" s="193"/>
      <c r="B33" s="193"/>
      <c r="C33" s="193"/>
      <c r="D33" s="193"/>
      <c r="E33" s="193"/>
      <c r="F33" s="193"/>
      <c r="G33" s="193"/>
      <c r="H33" s="193"/>
      <c r="I33" s="193"/>
      <c r="J33" s="193"/>
      <c r="K33" s="192"/>
    </row>
    <row r="34" spans="1:11" x14ac:dyDescent="0.2">
      <c r="A34" s="193"/>
      <c r="B34" s="193"/>
      <c r="C34" s="193"/>
      <c r="D34" s="193"/>
      <c r="E34" s="193"/>
      <c r="F34" s="193"/>
      <c r="G34" s="193"/>
      <c r="H34" s="193"/>
      <c r="I34" s="193"/>
      <c r="J34" s="193"/>
      <c r="K34" s="192"/>
    </row>
    <row r="35" spans="1:11" x14ac:dyDescent="0.2">
      <c r="A35" s="193"/>
      <c r="B35" s="193"/>
      <c r="C35" s="193"/>
      <c r="D35" s="193"/>
      <c r="E35" s="193"/>
      <c r="F35" s="193"/>
      <c r="G35" s="193"/>
      <c r="H35" s="193"/>
      <c r="I35" s="193"/>
      <c r="J35" s="193"/>
      <c r="K35" s="192"/>
    </row>
    <row r="36" spans="1:11" x14ac:dyDescent="0.2">
      <c r="A36" s="193"/>
      <c r="B36" s="193"/>
      <c r="C36" s="193"/>
      <c r="D36" s="193"/>
      <c r="E36" s="193"/>
      <c r="F36" s="193"/>
      <c r="G36" s="193"/>
      <c r="H36" s="193"/>
      <c r="I36" s="193"/>
      <c r="J36" s="193"/>
      <c r="K36" s="192"/>
    </row>
    <row r="37" spans="1:11" x14ac:dyDescent="0.2">
      <c r="A37" s="193"/>
      <c r="B37" s="193"/>
      <c r="C37" s="193"/>
      <c r="D37" s="193"/>
      <c r="E37" s="193"/>
      <c r="F37" s="193"/>
      <c r="G37" s="193"/>
      <c r="H37" s="193"/>
      <c r="I37" s="193"/>
      <c r="J37" s="193"/>
      <c r="K37" s="192"/>
    </row>
    <row r="38" spans="1:11" x14ac:dyDescent="0.2">
      <c r="A38" s="193"/>
      <c r="B38" s="193"/>
      <c r="C38" s="193"/>
      <c r="D38" s="193"/>
      <c r="E38" s="193"/>
      <c r="F38" s="193"/>
      <c r="G38" s="193"/>
      <c r="H38" s="193"/>
      <c r="I38" s="193"/>
      <c r="J38" s="193"/>
      <c r="K38" s="192"/>
    </row>
    <row r="39" spans="1:11" x14ac:dyDescent="0.2">
      <c r="A39" s="193"/>
      <c r="B39" s="193"/>
      <c r="C39" s="193"/>
      <c r="D39" s="193"/>
      <c r="E39" s="193"/>
      <c r="F39" s="193"/>
      <c r="G39" s="193"/>
      <c r="H39" s="193"/>
      <c r="I39" s="193"/>
      <c r="J39" s="193"/>
      <c r="K39" s="192"/>
    </row>
    <row r="40" spans="1:11" x14ac:dyDescent="0.2">
      <c r="A40" s="193"/>
      <c r="B40" s="193"/>
      <c r="C40" s="193"/>
      <c r="D40" s="193"/>
      <c r="E40" s="193"/>
      <c r="F40" s="193"/>
      <c r="G40" s="193"/>
      <c r="H40" s="193"/>
      <c r="I40" s="193"/>
      <c r="J40" s="193"/>
      <c r="K40" s="192"/>
    </row>
    <row r="41" spans="1:11" x14ac:dyDescent="0.2">
      <c r="A41" s="193"/>
      <c r="B41" s="193"/>
      <c r="C41" s="193"/>
      <c r="D41" s="193"/>
      <c r="E41" s="193"/>
      <c r="F41" s="193"/>
      <c r="G41" s="193"/>
      <c r="H41" s="193"/>
      <c r="I41" s="193"/>
      <c r="J41" s="193"/>
      <c r="K41" s="192"/>
    </row>
    <row r="42" spans="1:11" x14ac:dyDescent="0.2">
      <c r="A42" s="192"/>
      <c r="B42" s="192"/>
      <c r="C42" s="192"/>
      <c r="D42" s="192"/>
      <c r="E42" s="192"/>
      <c r="F42" s="192"/>
      <c r="G42" s="192"/>
      <c r="H42" s="192"/>
      <c r="I42" s="192"/>
      <c r="J42" s="192"/>
      <c r="K42" s="192"/>
    </row>
    <row r="43" spans="1:11" x14ac:dyDescent="0.2">
      <c r="A43" s="192"/>
      <c r="B43" s="192"/>
      <c r="C43" s="192"/>
      <c r="D43" s="192"/>
      <c r="E43" s="192"/>
      <c r="F43" s="192"/>
      <c r="G43" s="192"/>
      <c r="H43" s="192"/>
      <c r="I43" s="192"/>
      <c r="J43" s="192"/>
      <c r="K43" s="192"/>
    </row>
  </sheetData>
  <mergeCells count="14">
    <mergeCell ref="I4:J4"/>
    <mergeCell ref="A14:B15"/>
    <mergeCell ref="A17:B18"/>
    <mergeCell ref="C14:D15"/>
    <mergeCell ref="G6:H6"/>
    <mergeCell ref="I6:J6"/>
    <mergeCell ref="D4:E4"/>
    <mergeCell ref="A11:B12"/>
    <mergeCell ref="C11:D12"/>
    <mergeCell ref="E11:F12"/>
    <mergeCell ref="A13:B13"/>
    <mergeCell ref="C13:D13"/>
    <mergeCell ref="E13:F13"/>
    <mergeCell ref="G4:H4"/>
  </mergeCells>
  <pageMargins left="0.78740157499999996" right="0.78740157499999996" top="0.984251969" bottom="0.984251969" header="0.4921259845" footer="0.4921259845"/>
  <pageSetup paperSize="9" orientation="landscape"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bases!#REF!</xm:f>
          </x14:formula1>
          <xm:sqref>I4:J4</xm:sqref>
        </x14:dataValidation>
        <x14:dataValidation type="list" allowBlank="1" showInputMessage="1" showErrorMessage="1" xr:uid="{00000000-0002-0000-0000-000001000000}">
          <x14:formula1>
            <xm:f>bases!$H$12:$K$12</xm:f>
          </x14:formula1>
          <xm:sqref>I6:J6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2"/>
  <dimension ref="A1:I33"/>
  <sheetViews>
    <sheetView showGridLines="0" tabSelected="1" showWhiteSpace="0" zoomScaleNormal="100" workbookViewId="0">
      <selection activeCell="E14" sqref="E14"/>
    </sheetView>
  </sheetViews>
  <sheetFormatPr baseColWidth="10" defaultRowHeight="15" x14ac:dyDescent="0.25"/>
  <cols>
    <col min="2" max="2" width="29.140625" customWidth="1"/>
    <col min="7" max="7" width="12.5703125" customWidth="1"/>
  </cols>
  <sheetData>
    <row r="1" spans="1:6" x14ac:dyDescent="0.25">
      <c r="A1" s="153"/>
      <c r="B1" s="153"/>
      <c r="C1" s="153"/>
      <c r="D1" s="153"/>
      <c r="E1" s="153"/>
      <c r="F1" s="228"/>
    </row>
    <row r="2" spans="1:6" x14ac:dyDescent="0.25">
      <c r="A2" s="153"/>
      <c r="B2" s="153"/>
      <c r="C2" s="153"/>
      <c r="D2" s="153"/>
      <c r="E2" s="153"/>
      <c r="F2" s="228"/>
    </row>
    <row r="3" spans="1:6" x14ac:dyDescent="0.25">
      <c r="A3" s="153"/>
      <c r="B3" s="153"/>
      <c r="C3" s="362" t="s">
        <v>149</v>
      </c>
      <c r="D3" s="362"/>
      <c r="E3" s="153"/>
      <c r="F3" s="228"/>
    </row>
    <row r="4" spans="1:6" x14ac:dyDescent="0.25">
      <c r="A4" s="153"/>
      <c r="B4" s="153"/>
      <c r="C4" s="153"/>
      <c r="D4" s="153"/>
      <c r="E4" s="153"/>
      <c r="F4" s="228"/>
    </row>
    <row r="5" spans="1:6" x14ac:dyDescent="0.25">
      <c r="A5" s="363" t="s">
        <v>79</v>
      </c>
      <c r="B5" s="355"/>
      <c r="C5" s="355"/>
      <c r="D5" s="434" t="s">
        <v>58</v>
      </c>
      <c r="E5" s="435"/>
    </row>
    <row r="6" spans="1:6" x14ac:dyDescent="0.25">
      <c r="A6" s="153"/>
      <c r="B6" s="153"/>
      <c r="C6" s="153"/>
      <c r="D6" s="234"/>
      <c r="E6" s="153"/>
    </row>
    <row r="7" spans="1:6" x14ac:dyDescent="0.25">
      <c r="A7" s="153"/>
      <c r="B7" s="153"/>
      <c r="C7" s="153"/>
      <c r="D7" s="153"/>
      <c r="E7" s="153"/>
    </row>
    <row r="8" spans="1:6" x14ac:dyDescent="0.25">
      <c r="A8" s="162"/>
      <c r="B8" s="253"/>
      <c r="C8" s="253"/>
      <c r="D8" s="253"/>
      <c r="E8" s="253"/>
    </row>
    <row r="9" spans="1:6" x14ac:dyDescent="0.25">
      <c r="A9" s="162"/>
      <c r="B9" s="369" t="s">
        <v>139</v>
      </c>
      <c r="C9" s="370"/>
      <c r="D9" s="430">
        <v>15</v>
      </c>
      <c r="E9" s="432" t="str">
        <f>IF(D9&lt;10,"Calculs à partir de 10 chambres","")</f>
        <v/>
      </c>
    </row>
    <row r="10" spans="1:6" x14ac:dyDescent="0.25">
      <c r="A10" s="162"/>
      <c r="B10" s="370"/>
      <c r="C10" s="370"/>
      <c r="D10" s="431"/>
      <c r="E10" s="433"/>
    </row>
    <row r="11" spans="1:6" x14ac:dyDescent="0.25">
      <c r="A11" s="162"/>
      <c r="B11" s="194"/>
      <c r="C11" s="194"/>
      <c r="D11" s="194"/>
      <c r="E11" s="194"/>
    </row>
    <row r="12" spans="1:6" x14ac:dyDescent="0.25">
      <c r="A12" s="162"/>
      <c r="B12" s="194"/>
      <c r="C12" s="194"/>
      <c r="D12" s="194"/>
      <c r="E12" s="253"/>
    </row>
    <row r="13" spans="1:6" x14ac:dyDescent="0.25">
      <c r="A13" s="162"/>
      <c r="B13" s="194"/>
      <c r="C13" s="194"/>
      <c r="D13" s="194"/>
      <c r="E13" s="253"/>
      <c r="F13" s="297"/>
    </row>
    <row r="14" spans="1:6" x14ac:dyDescent="0.25">
      <c r="A14" s="228"/>
      <c r="B14" s="333" t="s">
        <v>64</v>
      </c>
      <c r="C14" s="153"/>
      <c r="F14" s="297"/>
    </row>
    <row r="15" spans="1:6" ht="15" customHeight="1" x14ac:dyDescent="0.25">
      <c r="B15" s="324" t="str">
        <f>IF(D9&lt;10,"",(IF(OR(D5="Instantanée",D5="Semi Instantanée"),'calcul maison de retraite'!C12,"")))</f>
        <v>Débit 10 min en l Delta T 50</v>
      </c>
      <c r="C15" s="340">
        <f>IF(B15="","",'calcul maison de retraite'!O24)</f>
        <v>406.29894698183284</v>
      </c>
      <c r="F15" s="297"/>
    </row>
    <row r="16" spans="1:6" ht="15" customHeight="1" x14ac:dyDescent="0.25">
      <c r="B16" s="324"/>
      <c r="C16" s="325"/>
      <c r="F16" s="297"/>
    </row>
    <row r="17" spans="1:9" ht="15" customHeight="1" x14ac:dyDescent="0.25">
      <c r="B17" s="334" t="str">
        <f>IF(D9&lt;10,"",IF(D5="Instantanée","Puissance calculée en kW",IF(D5="Semi Instantanée","Puissance calculée en kW","")))</f>
        <v>Puissance calculée en kW</v>
      </c>
      <c r="C17" s="438" t="str">
        <f>IF(D9&lt;10,"",IF(D5="Instantanée","",IF(D5="Semi Instantanée","ballon tampon ","")))</f>
        <v/>
      </c>
      <c r="D17" s="409"/>
      <c r="F17" s="297"/>
    </row>
    <row r="18" spans="1:9" x14ac:dyDescent="0.25">
      <c r="B18" s="326">
        <f>IF(D9&lt;10,"",IF(D5="Instantanée",'calcul maison de retraite'!N30,IF(D5="Semi Instantanée",'calcul maison de retraite'!R39,"")))</f>
        <v>121.15834598998256</v>
      </c>
      <c r="C18" s="327" t="str">
        <f>IF(D9&lt;10,"",IF(D5="Instantanée","",IF(D5="Semi Instantanée",'calcul maison de retraite'!T39,"")))</f>
        <v/>
      </c>
    </row>
    <row r="19" spans="1:9" x14ac:dyDescent="0.25">
      <c r="B19" s="326" t="str">
        <f>IF(D9&lt;10,"",IF(D5="Instantanée","",IF(D5="Semi Instantanée",'calcul maison de retraite'!R40,"")))</f>
        <v/>
      </c>
      <c r="C19" s="327" t="str">
        <f>IF(D9&lt;10,"",IF(D5="Instantanée","",IF(D5="Semi Instantanée",'calcul maison de retraite'!T40,"")))</f>
        <v/>
      </c>
    </row>
    <row r="20" spans="1:9" x14ac:dyDescent="0.25">
      <c r="B20" s="326" t="str">
        <f>IF(D9&lt;10,"",IF(D5="Instantanée","",IF(D5="Semi Instantanée",'calcul maison de retraite'!R41,"")))</f>
        <v/>
      </c>
      <c r="C20" s="327" t="str">
        <f>IF(D9&lt;10,"",IF(D5="Instantanée","",IF(D5="Semi Instantanée",'calcul maison de retraite'!T41,"")))</f>
        <v/>
      </c>
    </row>
    <row r="21" spans="1:9" x14ac:dyDescent="0.25">
      <c r="B21" s="326" t="str">
        <f>IF(D9&lt;10,"",IF(D5="Instantanée","",IF(D5="Semi Instantanée",'calcul maison de retraite'!R42,"")))</f>
        <v/>
      </c>
      <c r="C21" s="327" t="str">
        <f>IF(D9&lt;10,"",IF(D5="Instantanée","",IF(D5="Semi Instantanée",'calcul maison de retraite'!T42,"")))</f>
        <v/>
      </c>
      <c r="F21" s="439"/>
      <c r="G21" s="439"/>
      <c r="H21" s="439"/>
      <c r="I21" s="439"/>
    </row>
    <row r="22" spans="1:9" x14ac:dyDescent="0.25">
      <c r="B22" s="326" t="str">
        <f>IF(D9&lt;10,"",IF(D5="Instantanée","",IF(D5="Semi Instantanée",'calcul maison de retraite'!R43,"")))</f>
        <v/>
      </c>
      <c r="C22" s="327" t="str">
        <f>IF(D9&lt;10,"",IF(D5="Instantanée","",IF(D5="Semi Instantanée",'calcul maison de retraite'!T43,"")))</f>
        <v/>
      </c>
    </row>
    <row r="23" spans="1:9" x14ac:dyDescent="0.25">
      <c r="B23" s="326" t="str">
        <f>IF(D9&lt;10,"",IF(D5="Instantanée","",IF(D5="Semi Instantanée",'calcul maison de retraite'!R44,"")))</f>
        <v/>
      </c>
      <c r="C23" s="327" t="str">
        <f>IF(D9&lt;10,"",IF(D5="Instantanée","",IF(D5="Semi Instantanée",'calcul maison de retraite'!T44,"")))</f>
        <v/>
      </c>
    </row>
    <row r="25" spans="1:9" x14ac:dyDescent="0.25">
      <c r="B25" s="157" t="s">
        <v>72</v>
      </c>
      <c r="C25" s="153"/>
      <c r="D25" s="153"/>
      <c r="F25" s="436" t="str">
        <f>IF(D9&lt;10,"",IF(D5="Instantanée","Calculs Puissance d'appel",""))</f>
        <v>Calculs Puissance d'appel</v>
      </c>
      <c r="G25" s="437"/>
    </row>
    <row r="26" spans="1:9" x14ac:dyDescent="0.25">
      <c r="B26" s="269" t="str">
        <f>IF(D9&lt;10,"",IF(D5="Instantanée","TransTherm",IF(D5="Semi Instantanée","TansTherm","")))</f>
        <v>TransTherm</v>
      </c>
      <c r="C26" s="388" t="str">
        <f>IF(D9&lt;10,"",(IF(D5="Instantanée",'calcul maison de retraite'!N67,(IF(D5="Semi Instantanée",'calcul maison de retraite'!W39,"")))))</f>
        <v>F-GSWT (200)</v>
      </c>
      <c r="D26" s="376"/>
      <c r="F26" s="375" t="str">
        <f>IF(D9&lt;10,"",IF(F25="Calculs Puissance d'appel","saisie Volume Ballon Primaire en L",""))</f>
        <v>saisie Volume Ballon Primaire en L</v>
      </c>
      <c r="G26" s="376"/>
      <c r="H26" s="376"/>
      <c r="I26" s="303">
        <v>0</v>
      </c>
    </row>
    <row r="27" spans="1:9" x14ac:dyDescent="0.25">
      <c r="B27" s="269" t="str">
        <f>IF(D9&lt;10,"",IF(D5="Instantanée","Ballon EnerVal",IF(D5="Semi Instantanée","Ballon CombiVal","")))</f>
        <v>Ballon EnerVal</v>
      </c>
      <c r="C27" s="375" t="str">
        <f>IF(D9&lt;10,"",(IF(D5="Instantanée",'calcul maison de retraite'!N68,(IF(D5="Semi Instantanée",'calcul maison de retraite'!V39,"")))))</f>
        <v>300 L</v>
      </c>
      <c r="D27" s="376"/>
      <c r="F27" s="375" t="str">
        <f>IF(D9&lt;10,"",IF(F25="Calculs Puissance d'Appel",'calcul maison de retraite'!C48,""))</f>
        <v>Puissance d'appel (en kW)</v>
      </c>
      <c r="G27" s="375"/>
      <c r="H27" s="375"/>
      <c r="I27" s="154">
        <f>IF(F25="Calculs Puissance d'appel",'calcul maison de retraite'!N58,"")</f>
        <v>117.61100472856744</v>
      </c>
    </row>
    <row r="28" spans="1:9" x14ac:dyDescent="0.25">
      <c r="F28" s="375" t="str">
        <f>IF(D9&lt;10,"",IF(F25="Calculs Puissance d'Appel",'calcul maison de retraite'!C49,""))</f>
        <v>Débit primaire en m3/h</v>
      </c>
      <c r="G28" s="375"/>
      <c r="H28" s="375"/>
      <c r="I28" s="154">
        <f>IF(F25="Calculs Puissance d'appel",'calcul maison de retraite'!N56,"")</f>
        <v>2.534719929494988</v>
      </c>
    </row>
    <row r="30" spans="1:9" ht="15" customHeight="1" x14ac:dyDescent="0.25">
      <c r="A30" s="426" t="s">
        <v>174</v>
      </c>
      <c r="B30" s="427"/>
      <c r="C30" s="427"/>
      <c r="D30" s="427"/>
      <c r="E30" s="427"/>
      <c r="F30" s="427"/>
      <c r="G30" s="427"/>
      <c r="H30" s="427"/>
      <c r="I30" s="427"/>
    </row>
    <row r="31" spans="1:9" x14ac:dyDescent="0.25">
      <c r="A31" s="427"/>
      <c r="B31" s="427"/>
      <c r="C31" s="427"/>
      <c r="D31" s="427"/>
      <c r="E31" s="427"/>
      <c r="F31" s="427"/>
      <c r="G31" s="427"/>
      <c r="H31" s="427"/>
      <c r="I31" s="427"/>
    </row>
    <row r="32" spans="1:9" x14ac:dyDescent="0.25">
      <c r="A32" s="428"/>
      <c r="B32" s="428"/>
      <c r="C32" s="428"/>
      <c r="D32" s="428"/>
      <c r="E32" s="428"/>
      <c r="F32" s="428"/>
      <c r="G32" s="428"/>
      <c r="H32" s="428"/>
      <c r="I32" s="428"/>
    </row>
    <row r="33" spans="1:9" x14ac:dyDescent="0.25">
      <c r="A33" s="429"/>
      <c r="B33" s="429"/>
      <c r="C33" s="429"/>
      <c r="D33" s="429"/>
      <c r="E33" s="429"/>
      <c r="F33" s="429"/>
      <c r="G33" s="429"/>
      <c r="H33" s="429"/>
      <c r="I33" s="429"/>
    </row>
  </sheetData>
  <sheetProtection algorithmName="SHA-512" hashValue="2lbEuFmEhYYJEtBNrZmyE6vIgfzvxt9wVusGbD2MM76XL1t+ZaFCJQpX60kMk7ofykROS7KpPfz6aTLfyvpAjA==" saltValue="mbs7hHfDgTubf5Tj+OcxiQ==" spinCount="100000" sheet="1" objects="1" scenarios="1"/>
  <mergeCells count="15">
    <mergeCell ref="C3:D3"/>
    <mergeCell ref="A5:C5"/>
    <mergeCell ref="D5:E5"/>
    <mergeCell ref="F25:G25"/>
    <mergeCell ref="C26:D26"/>
    <mergeCell ref="F26:H26"/>
    <mergeCell ref="C17:D17"/>
    <mergeCell ref="F21:I21"/>
    <mergeCell ref="A30:I33"/>
    <mergeCell ref="F28:H28"/>
    <mergeCell ref="B9:C10"/>
    <mergeCell ref="D9:D10"/>
    <mergeCell ref="E9:E10"/>
    <mergeCell ref="C27:D27"/>
    <mergeCell ref="F27:H27"/>
  </mergeCells>
  <pageMargins left="0.7" right="0.7" top="0.75" bottom="0.75" header="0.3" footer="0.3"/>
  <pageSetup paperSize="9" orientation="landscape" r:id="rId1"/>
  <headerFooter scaleWithDoc="0"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bases!$H$4:$J$4</xm:f>
          </x14:formula1>
          <xm:sqref>D5:E5</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3"/>
  <dimension ref="A1:Y85"/>
  <sheetViews>
    <sheetView topLeftCell="M43" workbookViewId="0">
      <selection activeCell="N58" sqref="N58"/>
    </sheetView>
  </sheetViews>
  <sheetFormatPr baseColWidth="10" defaultRowHeight="15" x14ac:dyDescent="0.25"/>
  <cols>
    <col min="3" max="3" width="31.7109375" customWidth="1"/>
    <col min="4" max="4" width="26.140625" customWidth="1"/>
    <col min="9" max="9" width="21.28515625" customWidth="1"/>
    <col min="13" max="13" width="19.85546875" customWidth="1"/>
    <col min="14" max="14" width="24.140625" customWidth="1"/>
    <col min="17" max="17" width="17" customWidth="1"/>
    <col min="18" max="18" width="16" customWidth="1"/>
    <col min="19" max="19" width="15.85546875" customWidth="1"/>
    <col min="20" max="20" width="21" customWidth="1"/>
    <col min="21" max="21" width="20.5703125" customWidth="1"/>
    <col min="22" max="22" width="23.140625" customWidth="1"/>
    <col min="23" max="23" width="19.140625" customWidth="1"/>
  </cols>
  <sheetData>
    <row r="1" spans="1:20" x14ac:dyDescent="0.25">
      <c r="K1" s="55"/>
    </row>
    <row r="2" spans="1:20" x14ac:dyDescent="0.25">
      <c r="K2" s="55"/>
    </row>
    <row r="3" spans="1:20" x14ac:dyDescent="0.25">
      <c r="D3" s="411" t="s">
        <v>173</v>
      </c>
      <c r="E3" s="411"/>
      <c r="K3" s="55"/>
      <c r="M3" s="411" t="s">
        <v>175</v>
      </c>
      <c r="N3" s="411"/>
    </row>
    <row r="4" spans="1:20" x14ac:dyDescent="0.25">
      <c r="D4" s="411"/>
      <c r="E4" s="411"/>
      <c r="K4" s="55"/>
      <c r="M4" s="411"/>
      <c r="N4" s="411"/>
    </row>
    <row r="5" spans="1:20" x14ac:dyDescent="0.25">
      <c r="K5" s="55"/>
    </row>
    <row r="6" spans="1:20" x14ac:dyDescent="0.25">
      <c r="K6" s="55"/>
    </row>
    <row r="7" spans="1:20" x14ac:dyDescent="0.25">
      <c r="A7" s="228"/>
      <c r="B7" s="253"/>
      <c r="C7" t="s">
        <v>138</v>
      </c>
      <c r="D7" s="239">
        <f>'MAISON DE RETRAITE'!D9</f>
        <v>15</v>
      </c>
      <c r="E7" s="233"/>
      <c r="F7" s="233"/>
      <c r="K7" s="55"/>
      <c r="M7" s="441" t="s">
        <v>180</v>
      </c>
      <c r="N7" s="441"/>
      <c r="O7" s="441"/>
      <c r="P7" s="441"/>
    </row>
    <row r="8" spans="1:20" x14ac:dyDescent="0.25">
      <c r="A8" s="228"/>
      <c r="B8" s="253"/>
      <c r="D8" s="239"/>
      <c r="E8" s="233"/>
      <c r="F8" s="233"/>
      <c r="K8" s="55"/>
    </row>
    <row r="9" spans="1:20" x14ac:dyDescent="0.25">
      <c r="B9" s="162"/>
      <c r="C9" s="254"/>
      <c r="D9" s="240"/>
      <c r="E9" s="253"/>
      <c r="F9" s="253"/>
      <c r="K9" s="55"/>
      <c r="R9" s="440" t="s">
        <v>3</v>
      </c>
      <c r="S9" s="440"/>
      <c r="T9" s="13">
        <v>50</v>
      </c>
    </row>
    <row r="10" spans="1:20" x14ac:dyDescent="0.25">
      <c r="B10" s="162"/>
      <c r="C10" s="254" t="s">
        <v>151</v>
      </c>
      <c r="D10" s="240">
        <f>((D7*114)-(114/(SQRT(D7-1))))*(1/(SQRT(D7-1)))</f>
        <v>448.87386652738854</v>
      </c>
      <c r="E10" s="253"/>
      <c r="F10" s="253"/>
      <c r="K10" s="55"/>
      <c r="M10" s="442" t="s">
        <v>5</v>
      </c>
      <c r="N10" s="442" t="s">
        <v>6</v>
      </c>
      <c r="O10" s="442" t="s">
        <v>7</v>
      </c>
      <c r="P10" s="443" t="s">
        <v>8</v>
      </c>
    </row>
    <row r="11" spans="1:20" x14ac:dyDescent="0.25">
      <c r="B11" s="162"/>
      <c r="C11" s="254"/>
      <c r="D11" s="240"/>
      <c r="E11" s="253"/>
      <c r="F11" s="253"/>
      <c r="K11" s="55"/>
      <c r="M11" s="442"/>
      <c r="N11" s="442"/>
      <c r="O11" s="442"/>
      <c r="P11" s="443"/>
    </row>
    <row r="12" spans="1:20" x14ac:dyDescent="0.25">
      <c r="B12" s="162"/>
      <c r="C12" s="254" t="s">
        <v>150</v>
      </c>
      <c r="D12" s="257">
        <f>(D10*45)/50</f>
        <v>403.98647987464966</v>
      </c>
      <c r="E12" s="253"/>
      <c r="F12" s="253"/>
      <c r="K12" s="55"/>
      <c r="M12" s="2"/>
      <c r="N12" s="2"/>
      <c r="O12" s="2"/>
      <c r="P12" s="2"/>
    </row>
    <row r="13" spans="1:20" x14ac:dyDescent="0.25">
      <c r="B13" s="228"/>
      <c r="C13" s="254" t="s">
        <v>147</v>
      </c>
      <c r="D13" s="240">
        <f>D12/10</f>
        <v>40.398647987464969</v>
      </c>
      <c r="E13" s="228"/>
      <c r="F13" s="228"/>
      <c r="K13" s="55"/>
      <c r="M13" s="18">
        <f>IF('MAISON DE RETRAITE'!D9&lt;10,"calcul à partir de 10 chambres",'MAISON DE RETRAITE'!D9)</f>
        <v>15</v>
      </c>
      <c r="N13" s="308" t="s">
        <v>10</v>
      </c>
      <c r="O13" s="307">
        <v>0.6</v>
      </c>
      <c r="P13" s="308">
        <f>M13*O13</f>
        <v>9</v>
      </c>
    </row>
    <row r="14" spans="1:20" x14ac:dyDescent="0.25">
      <c r="B14" s="228"/>
      <c r="C14" s="254"/>
      <c r="D14" s="240"/>
      <c r="E14" s="228"/>
      <c r="F14" s="228"/>
      <c r="K14" s="55"/>
      <c r="M14" s="309"/>
      <c r="N14" s="310"/>
      <c r="O14" s="311"/>
      <c r="P14" s="312"/>
    </row>
    <row r="15" spans="1:20" x14ac:dyDescent="0.25">
      <c r="B15" s="228"/>
      <c r="C15" s="254" t="s">
        <v>152</v>
      </c>
      <c r="D15" s="240">
        <f>1.5*D12</f>
        <v>605.97971981197452</v>
      </c>
      <c r="E15" s="228"/>
      <c r="F15" s="228"/>
      <c r="K15" s="55"/>
    </row>
    <row r="16" spans="1:20" x14ac:dyDescent="0.25">
      <c r="B16" s="228"/>
      <c r="D16" s="239"/>
      <c r="E16" s="228"/>
      <c r="F16" s="228"/>
      <c r="K16" s="55"/>
    </row>
    <row r="17" spans="2:19" x14ac:dyDescent="0.25">
      <c r="B17" s="24"/>
      <c r="C17" s="11" t="s">
        <v>2</v>
      </c>
      <c r="D17" s="240">
        <f>(D13*60*50)*(4.2/3600)</f>
        <v>141.39526795612738</v>
      </c>
      <c r="E17" s="228"/>
      <c r="F17" s="228"/>
      <c r="K17" s="55"/>
    </row>
    <row r="18" spans="2:19" x14ac:dyDescent="0.25">
      <c r="B18" s="228"/>
      <c r="C18" s="228"/>
      <c r="D18" s="228"/>
      <c r="E18" s="228"/>
      <c r="F18" s="228"/>
      <c r="K18" s="55"/>
    </row>
    <row r="19" spans="2:19" x14ac:dyDescent="0.25">
      <c r="B19" s="24"/>
      <c r="C19" s="11" t="s">
        <v>52</v>
      </c>
      <c r="D19" s="243">
        <f>(D15*50)/860</f>
        <v>35.231379058835728</v>
      </c>
      <c r="E19" s="228"/>
      <c r="F19" s="228"/>
      <c r="K19" s="55"/>
      <c r="M19" s="313" t="s">
        <v>160</v>
      </c>
      <c r="N19" s="314">
        <f>M13*2.3</f>
        <v>34.5</v>
      </c>
    </row>
    <row r="20" spans="2:19" x14ac:dyDescent="0.25">
      <c r="B20" s="228"/>
      <c r="C20" s="228"/>
      <c r="D20" s="228"/>
      <c r="E20" s="228"/>
      <c r="F20" s="228"/>
      <c r="K20" s="55"/>
      <c r="M20" s="313" t="s">
        <v>159</v>
      </c>
      <c r="N20" s="314">
        <f>P13*2.3</f>
        <v>20.7</v>
      </c>
    </row>
    <row r="21" spans="2:19" x14ac:dyDescent="0.25">
      <c r="B21" s="228"/>
      <c r="C21" s="228"/>
      <c r="D21" s="228"/>
      <c r="E21" s="228"/>
      <c r="F21" s="228"/>
      <c r="K21" s="55"/>
    </row>
    <row r="22" spans="2:19" x14ac:dyDescent="0.25">
      <c r="B22" s="24"/>
      <c r="C22" s="228"/>
      <c r="D22" s="228"/>
      <c r="E22" s="228"/>
      <c r="F22" s="228"/>
      <c r="K22" s="55"/>
    </row>
    <row r="23" spans="2:19" x14ac:dyDescent="0.25">
      <c r="B23" s="228"/>
      <c r="C23" s="228"/>
      <c r="D23" s="228"/>
      <c r="E23" s="228"/>
      <c r="F23" s="228"/>
      <c r="K23" s="55"/>
    </row>
    <row r="24" spans="2:19" ht="26.25" x14ac:dyDescent="0.25">
      <c r="C24" s="168" t="s">
        <v>93</v>
      </c>
      <c r="D24" s="164">
        <f>D12</f>
        <v>403.98647987464966</v>
      </c>
      <c r="E24" s="164">
        <f>ROUNDDOWN(D24,-2)</f>
        <v>400</v>
      </c>
      <c r="F24" s="255">
        <f>D24-E24</f>
        <v>3.9864798746496604</v>
      </c>
      <c r="G24" s="255">
        <f>IF(F24&lt;50,ROUNDDOWN(D24,-2),ROUNDUP(D24,-2))</f>
        <v>400</v>
      </c>
      <c r="K24" s="55"/>
      <c r="M24" s="315" t="s">
        <v>121</v>
      </c>
      <c r="N24" s="316">
        <f>(61*(N19^0.503))*1.1</f>
        <v>398.3323009625812</v>
      </c>
      <c r="O24" s="316">
        <f>(N24*51)/50</f>
        <v>406.29894698183284</v>
      </c>
    </row>
    <row r="25" spans="2:19" ht="26.25" x14ac:dyDescent="0.25">
      <c r="K25" s="55"/>
      <c r="M25" s="315" t="s">
        <v>155</v>
      </c>
      <c r="N25" s="316">
        <f>(83*(N20^0.708))*1.1</f>
        <v>780.14940592054847</v>
      </c>
      <c r="O25" s="317">
        <f>(N25*51)/50</f>
        <v>795.75239403895944</v>
      </c>
    </row>
    <row r="26" spans="2:19" ht="83.25" customHeight="1" x14ac:dyDescent="0.25">
      <c r="C26" s="168" t="s">
        <v>92</v>
      </c>
      <c r="D26" s="169">
        <f>(((D17-D19)/(4.2/3600))/(60*50))*10</f>
        <v>303.32539684940468</v>
      </c>
      <c r="E26" s="152">
        <f>ROUNDDOWN(D26,-2)</f>
        <v>300</v>
      </c>
      <c r="F26" s="169">
        <f>D26-E26</f>
        <v>3.3253968494046831</v>
      </c>
      <c r="G26" s="152">
        <f>IF(F26&lt;50,ROUNDDOWN(D26,-2),ROUNDUP(D26,-2))</f>
        <v>300</v>
      </c>
      <c r="H26" s="152"/>
      <c r="I26" s="168" t="s">
        <v>91</v>
      </c>
      <c r="J26" s="152">
        <f>IF(G26&lt;200,200,IF(AND(D10&gt;529,D19&gt;115,D19&lt;175),G26+200,IF(AND(D19&gt;175,D19&lt;230),G26+400,IF(AND(D19&gt;230),G26+600,G26))))</f>
        <v>300</v>
      </c>
      <c r="K26" s="55"/>
      <c r="M26" s="315" t="s">
        <v>4</v>
      </c>
      <c r="N26" s="444">
        <f>O24/10</f>
        <v>40.629894698183286</v>
      </c>
      <c r="O26" s="445"/>
    </row>
    <row r="27" spans="2:19" x14ac:dyDescent="0.25">
      <c r="K27" s="55"/>
    </row>
    <row r="28" spans="2:19" x14ac:dyDescent="0.25">
      <c r="K28" s="55"/>
    </row>
    <row r="29" spans="2:19" x14ac:dyDescent="0.25">
      <c r="C29" s="165" t="s">
        <v>50</v>
      </c>
      <c r="D29" s="152"/>
      <c r="E29" s="152"/>
      <c r="K29" s="55"/>
      <c r="M29" s="318" t="s">
        <v>2</v>
      </c>
      <c r="N29" s="446">
        <f>(N26*60*T9)*(4.2/3600)</f>
        <v>142.20463144364152</v>
      </c>
      <c r="O29" s="447"/>
      <c r="R29" t="s">
        <v>179</v>
      </c>
      <c r="S29">
        <f>IF(O24-300&lt;200,200,300)</f>
        <v>200</v>
      </c>
    </row>
    <row r="30" spans="2:19" ht="26.25" x14ac:dyDescent="0.25">
      <c r="C30" s="152"/>
      <c r="D30" s="152"/>
      <c r="E30" s="152"/>
      <c r="K30" s="55"/>
      <c r="M30" s="319" t="s">
        <v>176</v>
      </c>
      <c r="N30" s="448">
        <f>N29*0.852</f>
        <v>121.15834598998256</v>
      </c>
      <c r="O30" s="449"/>
    </row>
    <row r="31" spans="2:19" x14ac:dyDescent="0.25">
      <c r="C31" s="165" t="s">
        <v>88</v>
      </c>
      <c r="D31" s="152" t="str">
        <f>IF(D17&lt;96,"F-GSWT(100)",IF(D17&lt;194,"F-GSWT (200)",IF(D17&lt;304,"F-GSWT (300)",IF(D17&lt;372,"F-GSWT (375)",IF(D17&lt;499,"F-GSWT (500)",IF(D17&lt;599,"F-GSWT (600)",IF(D17&lt;699,"F-GSWT (700)",IF(D17&lt;848,"F-GSWT (850)","PAS DE MODELE"))))))))</f>
        <v>F-GSWT (200)</v>
      </c>
      <c r="E31" s="152"/>
      <c r="K31" s="55"/>
    </row>
    <row r="32" spans="2:19" x14ac:dyDescent="0.25">
      <c r="C32" s="165" t="s">
        <v>90</v>
      </c>
      <c r="D32" s="152" t="str">
        <f>IF(D31="PAS DE MODELE","PAS DE MODELE",VLOOKUP(G24,bases!B3:C63,2))</f>
        <v>300 L</v>
      </c>
      <c r="E32" s="152"/>
      <c r="K32" s="55"/>
    </row>
    <row r="33" spans="3:23" x14ac:dyDescent="0.25">
      <c r="C33" s="152"/>
      <c r="D33" s="152"/>
      <c r="E33" s="152"/>
      <c r="K33" s="55"/>
      <c r="M33" s="335" t="s">
        <v>177</v>
      </c>
      <c r="N33" s="336">
        <f>N30-((('MAISON DE RETRAITE'!I26)*(4.2/3600)*60*50)/10)</f>
        <v>121.15834598998256</v>
      </c>
      <c r="O33" s="337"/>
      <c r="P33" s="337"/>
      <c r="Q33" s="336">
        <f>N29-((('MAISON DE RETRAITE'!I26)*(4.2/3600)*60*50)/10)</f>
        <v>142.20463144364152</v>
      </c>
      <c r="S33">
        <f>N30-(((S29)*(4.2/3600)*60*50)/10)</f>
        <v>51.15834598998255</v>
      </c>
    </row>
    <row r="34" spans="3:23" ht="23.25" x14ac:dyDescent="0.25">
      <c r="K34" s="55"/>
      <c r="M34" s="335" t="s">
        <v>178</v>
      </c>
      <c r="N34" s="336">
        <f>N33*1.03</f>
        <v>124.79309636968205</v>
      </c>
      <c r="O34" s="337"/>
      <c r="P34" s="337"/>
      <c r="Q34" s="336">
        <f>Q33*1.2</f>
        <v>170.64555773236981</v>
      </c>
    </row>
    <row r="35" spans="3:23" x14ac:dyDescent="0.25">
      <c r="C35" s="165" t="s">
        <v>89</v>
      </c>
      <c r="D35" s="152"/>
      <c r="K35" s="55"/>
    </row>
    <row r="36" spans="3:23" x14ac:dyDescent="0.25">
      <c r="C36" s="152"/>
      <c r="D36" s="152"/>
      <c r="K36" s="55"/>
    </row>
    <row r="37" spans="3:23" x14ac:dyDescent="0.25">
      <c r="C37" s="165" t="s">
        <v>88</v>
      </c>
      <c r="D37" s="152" t="str">
        <f>IF(D19&lt;50,"aqua L (10)",IF(D19&lt;90,"aqua L (16)",IF(D19&lt;115,"aqua L (20)",IF(D19&lt;175,"aqua L (30)",IF(D19&lt;230,"aqua L (40)",IF(D19&lt;275,"aqua L (50)","PAS DE MODELE"))))))</f>
        <v>aqua L (10)</v>
      </c>
      <c r="K37" s="55"/>
    </row>
    <row r="38" spans="3:23" ht="45" x14ac:dyDescent="0.25">
      <c r="C38" s="165" t="s">
        <v>87</v>
      </c>
      <c r="D38" s="152" t="str">
        <f>IF(D37="PAS DE MODELE","PAS DE MODELE",VLOOKUP(J26,bases!E3:F23,2))</f>
        <v>300 L</v>
      </c>
      <c r="K38" s="55"/>
      <c r="M38" s="197" t="s">
        <v>181</v>
      </c>
      <c r="N38" s="197" t="s">
        <v>182</v>
      </c>
      <c r="Q38" s="321" t="s">
        <v>183</v>
      </c>
      <c r="R38" s="321" t="s">
        <v>188</v>
      </c>
      <c r="T38" t="s">
        <v>185</v>
      </c>
      <c r="U38" t="s">
        <v>184</v>
      </c>
      <c r="V38" t="s">
        <v>186</v>
      </c>
      <c r="W38" t="s">
        <v>187</v>
      </c>
    </row>
    <row r="39" spans="3:23" x14ac:dyDescent="0.25">
      <c r="K39" s="55"/>
      <c r="M39" s="197">
        <v>300</v>
      </c>
      <c r="N39" s="320">
        <f>N30-(M39*0.2)</f>
        <v>61.158345989982564</v>
      </c>
      <c r="Q39" s="322">
        <f>IF(N39&lt;0,"pas de solution",M39)</f>
        <v>300</v>
      </c>
      <c r="R39" s="323">
        <f>IF(N39&lt;0,"pas de solution",N39)</f>
        <v>61.158345989982564</v>
      </c>
      <c r="T39" s="274" t="str">
        <f>IF(U39="PAS DE MODELE","pas de solution",VLOOKUP(Q39,bases!E3:F23,2))</f>
        <v>300 L</v>
      </c>
      <c r="U39" s="274" t="str">
        <f t="shared" ref="U39:U44" si="0">IF(R39&lt;50,"aqua L (10)",IF(R39&lt;90,"aqua L (16)",IF(R39&lt;115,"aqua L (20)",IF(R39&lt;175,"aqua L (30)",IF(R39&lt;230,"aqua L (40)",IF(R39&lt;275,"aqua L (50)","PAS DE MODELE"))))))</f>
        <v>aqua L (16)</v>
      </c>
      <c r="V39" t="str">
        <f>IF(W39="PAS DE MODELE","pas de solution",IF(Y71&gt;2000,"PAS DE SOLUTION",VLOOKUP(Y71,bases!E3:F23,2)))</f>
        <v>500 L</v>
      </c>
      <c r="W39" t="str">
        <f>VLOOKUP(Y71,V51:W56,2)</f>
        <v>aqua L (10)</v>
      </c>
    </row>
    <row r="40" spans="3:23" x14ac:dyDescent="0.25">
      <c r="K40" s="55"/>
      <c r="M40" s="197">
        <v>500</v>
      </c>
      <c r="N40" s="320">
        <f>N30-(M40*0.2)</f>
        <v>21.158345989982564</v>
      </c>
      <c r="Q40" s="322">
        <f t="shared" ref="Q40:Q44" si="1">IF(N40&lt;0,"pas de solution",M40)</f>
        <v>500</v>
      </c>
      <c r="R40" s="323">
        <f t="shared" ref="R40:R44" si="2">IF(N40&lt;0,"pas de solution",N40)</f>
        <v>21.158345989982564</v>
      </c>
      <c r="T40" s="274" t="str">
        <f>IF(U40="PAS DE MODELE","pas de solution",VLOOKUP(Q40,bases!E3:F23,2))</f>
        <v>500 L</v>
      </c>
      <c r="U40" s="274" t="str">
        <f t="shared" si="0"/>
        <v>aqua L (10)</v>
      </c>
    </row>
    <row r="41" spans="3:23" x14ac:dyDescent="0.25">
      <c r="K41" s="55"/>
      <c r="M41" s="197">
        <v>800</v>
      </c>
      <c r="N41" s="320">
        <f>N30-(M41*0.2)</f>
        <v>-38.841654010017436</v>
      </c>
      <c r="Q41" s="322" t="str">
        <f t="shared" si="1"/>
        <v>pas de solution</v>
      </c>
      <c r="R41" s="323" t="str">
        <f t="shared" si="2"/>
        <v>pas de solution</v>
      </c>
      <c r="T41" s="274" t="str">
        <f>IF(U41="PAS DE MODELE","pas de solution",VLOOKUP(Q41,bases!E3:F23,2))</f>
        <v>pas de solution</v>
      </c>
      <c r="U41" s="274" t="str">
        <f t="shared" si="0"/>
        <v>PAS DE MODELE</v>
      </c>
    </row>
    <row r="42" spans="3:23" x14ac:dyDescent="0.25">
      <c r="C42" s="168" t="s">
        <v>86</v>
      </c>
      <c r="D42" s="152"/>
      <c r="E42" s="152"/>
      <c r="F42" s="152"/>
      <c r="G42" s="152"/>
      <c r="H42" s="152"/>
      <c r="I42" s="152"/>
      <c r="K42" s="55"/>
      <c r="M42" s="197">
        <v>1000</v>
      </c>
      <c r="N42" s="320">
        <f>N30-(M42*0.2)</f>
        <v>-78.841654010017436</v>
      </c>
      <c r="Q42" s="322" t="str">
        <f t="shared" si="1"/>
        <v>pas de solution</v>
      </c>
      <c r="R42" s="323" t="str">
        <f t="shared" si="2"/>
        <v>pas de solution</v>
      </c>
      <c r="T42" s="274" t="str">
        <f>IF(U42="PAS DE MODELE","pas de solution",VLOOKUP(Q42,bases!E3:F23,2))</f>
        <v>pas de solution</v>
      </c>
      <c r="U42" s="274" t="str">
        <f t="shared" si="0"/>
        <v>PAS DE MODELE</v>
      </c>
    </row>
    <row r="43" spans="3:23" x14ac:dyDescent="0.25">
      <c r="C43" s="152"/>
      <c r="D43" s="152"/>
      <c r="E43" s="152"/>
      <c r="F43" s="152"/>
      <c r="G43" s="152"/>
      <c r="H43" s="152"/>
      <c r="I43" s="152"/>
      <c r="K43" s="55"/>
      <c r="M43" s="197">
        <v>1500</v>
      </c>
      <c r="N43" s="320">
        <f>N30-(M43*0.2)</f>
        <v>-178.84165401001744</v>
      </c>
      <c r="Q43" s="322" t="str">
        <f t="shared" si="1"/>
        <v>pas de solution</v>
      </c>
      <c r="R43" s="323" t="str">
        <f t="shared" si="2"/>
        <v>pas de solution</v>
      </c>
      <c r="T43" s="274" t="str">
        <f>IF(U43="PAS DE MODELE","pas de solution",VLOOKUP(Q43,bases!E3:F23,2))</f>
        <v>pas de solution</v>
      </c>
      <c r="U43" s="274" t="str">
        <f t="shared" si="0"/>
        <v>PAS DE MODELE</v>
      </c>
    </row>
    <row r="44" spans="3:23" x14ac:dyDescent="0.25">
      <c r="C44" s="165" t="s">
        <v>162</v>
      </c>
      <c r="D44" s="273">
        <f>2*D15</f>
        <v>1211.959439623949</v>
      </c>
      <c r="E44" s="152"/>
      <c r="F44" s="383" t="s">
        <v>84</v>
      </c>
      <c r="G44" s="383"/>
      <c r="H44" s="383"/>
      <c r="I44" s="306">
        <f>1.5*D15</f>
        <v>908.96957971796178</v>
      </c>
      <c r="K44" s="55"/>
      <c r="M44" s="197">
        <v>2000</v>
      </c>
      <c r="N44" s="320">
        <f>N30-(M44*0.2)</f>
        <v>-278.84165401001746</v>
      </c>
      <c r="Q44" s="322" t="str">
        <f t="shared" si="1"/>
        <v>pas de solution</v>
      </c>
      <c r="R44" s="323" t="str">
        <f t="shared" si="2"/>
        <v>pas de solution</v>
      </c>
      <c r="T44" s="274" t="str">
        <f>IF(U44="PAS DE MODELE","pas de solution",VLOOKUP(Q44,bases!E3:F23,2))</f>
        <v>pas de solution</v>
      </c>
      <c r="U44" s="274" t="str">
        <f t="shared" si="0"/>
        <v>PAS DE MODELE</v>
      </c>
    </row>
    <row r="45" spans="3:23" x14ac:dyDescent="0.25">
      <c r="C45" s="165" t="s">
        <v>83</v>
      </c>
      <c r="D45" s="152">
        <f>'MAISON DE RETRAITE'!I26</f>
        <v>0</v>
      </c>
      <c r="E45" s="152"/>
      <c r="F45" s="383"/>
      <c r="G45" s="383"/>
      <c r="H45" s="383"/>
      <c r="I45" s="306"/>
      <c r="K45" s="55"/>
      <c r="M45" s="384" t="s">
        <v>191</v>
      </c>
      <c r="N45" s="384"/>
    </row>
    <row r="46" spans="3:23" x14ac:dyDescent="0.25">
      <c r="C46" s="152"/>
      <c r="D46" s="152"/>
      <c r="E46" s="152"/>
      <c r="F46" s="152"/>
      <c r="G46" s="152"/>
      <c r="H46" s="152"/>
      <c r="I46" s="152"/>
      <c r="K46" s="55"/>
    </row>
    <row r="47" spans="3:23" x14ac:dyDescent="0.25">
      <c r="C47" s="152"/>
      <c r="D47" s="152"/>
      <c r="E47" s="152"/>
      <c r="F47" s="152"/>
      <c r="G47" s="152"/>
      <c r="H47" s="152"/>
      <c r="I47" s="152"/>
      <c r="K47" s="55"/>
    </row>
    <row r="48" spans="3:23" x14ac:dyDescent="0.25">
      <c r="C48" s="165" t="s">
        <v>82</v>
      </c>
      <c r="D48" s="273">
        <f>IF(D45&gt;D15,"ERREUR - Volume Tampon trop important",((I44-D45)*50)/860)</f>
        <v>52.847068588253592</v>
      </c>
      <c r="E48" s="152"/>
      <c r="F48" s="152"/>
      <c r="G48" s="152"/>
      <c r="H48" s="152"/>
      <c r="I48" s="152"/>
      <c r="K48" s="55"/>
    </row>
    <row r="49" spans="3:23" ht="26.25" x14ac:dyDescent="0.25">
      <c r="C49" s="165" t="s">
        <v>81</v>
      </c>
      <c r="D49" s="164">
        <f>(D48/1.16)/40</f>
        <v>1.1389454437123621</v>
      </c>
      <c r="E49" s="152"/>
      <c r="F49" s="152"/>
      <c r="G49" s="152"/>
      <c r="H49" s="152"/>
      <c r="I49" s="152"/>
      <c r="K49" s="55"/>
      <c r="M49" s="168" t="s">
        <v>86</v>
      </c>
      <c r="N49" s="152"/>
      <c r="O49" s="152"/>
      <c r="P49" s="152"/>
      <c r="Q49" s="152"/>
      <c r="R49" s="152"/>
      <c r="S49" s="152"/>
    </row>
    <row r="50" spans="3:23" ht="30" x14ac:dyDescent="0.25">
      <c r="K50" s="55"/>
      <c r="M50" s="152"/>
      <c r="N50" s="152"/>
      <c r="O50" s="152"/>
      <c r="P50" s="152"/>
      <c r="Q50" s="152"/>
      <c r="R50" s="152"/>
      <c r="S50" s="152"/>
      <c r="V50" s="330" t="s">
        <v>183</v>
      </c>
      <c r="W50" s="331" t="s">
        <v>184</v>
      </c>
    </row>
    <row r="51" spans="3:23" x14ac:dyDescent="0.25">
      <c r="K51" s="55"/>
      <c r="M51" s="338" t="s">
        <v>162</v>
      </c>
      <c r="N51" s="339">
        <f>2*O25</f>
        <v>1591.5047880779189</v>
      </c>
      <c r="O51" s="152"/>
      <c r="P51" s="383" t="s">
        <v>190</v>
      </c>
      <c r="Q51" s="383"/>
      <c r="R51" s="383"/>
      <c r="S51" s="306">
        <f>1.3*O25</f>
        <v>1034.4781122506472</v>
      </c>
      <c r="V51" s="332">
        <f>IF(N39&lt;0,"pas de solution",M39)</f>
        <v>300</v>
      </c>
      <c r="W51" s="331" t="str">
        <f>IF(R39&lt;50,"aqua L (10)",IF(R39&lt;90,"aqua L (16)",IF(R39&lt;115,"aqua L (20)",IF(R39&lt;175,"aqua L (30)",IF(R39&lt;230,"aqua L (40)",IF(R39&lt;275,"aqua L (50)","PAS DE MODELE"))))))</f>
        <v>aqua L (16)</v>
      </c>
    </row>
    <row r="52" spans="3:23" x14ac:dyDescent="0.25">
      <c r="K52" s="55"/>
      <c r="M52" s="338" t="s">
        <v>83</v>
      </c>
      <c r="N52" s="338">
        <f>'MAISON DE RETRAITE'!I26</f>
        <v>0</v>
      </c>
      <c r="O52" s="152"/>
      <c r="P52" s="152"/>
      <c r="Q52" s="152"/>
      <c r="R52" s="152"/>
      <c r="S52" s="152"/>
      <c r="V52" s="332">
        <f t="shared" ref="V52:V56" si="3">IF(N40&lt;0,"pas de solution",M40)</f>
        <v>500</v>
      </c>
      <c r="W52" s="331" t="str">
        <f t="shared" ref="W52:W56" si="4">IF(R40&lt;50,"aqua L (10)",IF(R40&lt;90,"aqua L (16)",IF(R40&lt;115,"aqua L (20)",IF(R40&lt;175,"aqua L (30)",IF(R40&lt;230,"aqua L (40)",IF(R40&lt;275,"aqua L (50)","PAS DE MODELE"))))))</f>
        <v>aqua L (10)</v>
      </c>
    </row>
    <row r="53" spans="3:23" x14ac:dyDescent="0.25">
      <c r="K53" s="55"/>
      <c r="M53" s="152"/>
      <c r="N53" s="152"/>
      <c r="O53" s="152"/>
      <c r="P53" s="152"/>
      <c r="Q53" s="152"/>
      <c r="R53" s="152"/>
      <c r="S53" s="152"/>
      <c r="V53" s="332" t="str">
        <f t="shared" si="3"/>
        <v>pas de solution</v>
      </c>
      <c r="W53" s="331" t="str">
        <f t="shared" si="4"/>
        <v>PAS DE MODELE</v>
      </c>
    </row>
    <row r="54" spans="3:23" x14ac:dyDescent="0.25">
      <c r="K54" s="55"/>
      <c r="M54" s="152"/>
      <c r="N54" s="152"/>
      <c r="O54" s="152"/>
      <c r="P54" s="152"/>
      <c r="Q54" s="152"/>
      <c r="R54" s="152"/>
      <c r="S54" s="152"/>
      <c r="V54" s="332" t="str">
        <f t="shared" si="3"/>
        <v>pas de solution</v>
      </c>
      <c r="W54" s="331" t="str">
        <f t="shared" si="4"/>
        <v>PAS DE MODELE</v>
      </c>
    </row>
    <row r="55" spans="3:23" x14ac:dyDescent="0.25">
      <c r="K55" s="55"/>
      <c r="M55" s="167" t="s">
        <v>197</v>
      </c>
      <c r="N55" s="177">
        <f>IF(N52&gt;(1.3*O24),"ERREUR - Volume Tampon trop important",(N30-((S51-N52)*50)/860))</f>
        <v>61.014269696340286</v>
      </c>
      <c r="O55" s="152"/>
      <c r="P55" s="152"/>
      <c r="Q55" s="152"/>
      <c r="R55" s="152"/>
      <c r="S55" s="152"/>
      <c r="V55" s="332" t="str">
        <f t="shared" si="3"/>
        <v>pas de solution</v>
      </c>
      <c r="W55" s="331" t="str">
        <f t="shared" si="4"/>
        <v>PAS DE MODELE</v>
      </c>
    </row>
    <row r="56" spans="3:23" x14ac:dyDescent="0.25">
      <c r="K56" s="55"/>
      <c r="M56" s="345" t="s">
        <v>81</v>
      </c>
      <c r="N56" s="346">
        <f>(N58/1.16)/40</f>
        <v>2.534719929494988</v>
      </c>
      <c r="O56" s="152"/>
      <c r="P56" s="152"/>
      <c r="Q56" s="152"/>
      <c r="R56" s="152"/>
      <c r="S56" s="152"/>
      <c r="V56" s="332" t="str">
        <f t="shared" si="3"/>
        <v>pas de solution</v>
      </c>
      <c r="W56" s="331" t="str">
        <f t="shared" si="4"/>
        <v>PAS DE MODELE</v>
      </c>
    </row>
    <row r="57" spans="3:23" x14ac:dyDescent="0.25">
      <c r="K57" s="55"/>
    </row>
    <row r="58" spans="3:23" x14ac:dyDescent="0.25">
      <c r="K58" s="55"/>
      <c r="M58" t="s">
        <v>198</v>
      </c>
      <c r="N58" s="344">
        <f>IF(N52&lt;(0.4*O24),(N30-((N55*50)/860)),(N30-N55))</f>
        <v>117.61100472856744</v>
      </c>
    </row>
    <row r="59" spans="3:23" x14ac:dyDescent="0.25">
      <c r="K59" s="328"/>
    </row>
    <row r="60" spans="3:23" x14ac:dyDescent="0.25">
      <c r="K60" s="328"/>
    </row>
    <row r="61" spans="3:23" x14ac:dyDescent="0.25">
      <c r="K61" s="328"/>
    </row>
    <row r="62" spans="3:23" x14ac:dyDescent="0.25">
      <c r="K62" s="328"/>
    </row>
    <row r="63" spans="3:23" x14ac:dyDescent="0.25">
      <c r="K63" s="328"/>
    </row>
    <row r="64" spans="3:23" x14ac:dyDescent="0.25">
      <c r="K64" s="328"/>
    </row>
    <row r="65" spans="11:25" x14ac:dyDescent="0.25">
      <c r="K65" s="328"/>
      <c r="M65" s="165" t="s">
        <v>50</v>
      </c>
      <c r="N65" s="152"/>
    </row>
    <row r="66" spans="11:25" x14ac:dyDescent="0.25">
      <c r="K66" s="328"/>
      <c r="M66" s="152"/>
      <c r="N66" s="152"/>
    </row>
    <row r="67" spans="11:25" x14ac:dyDescent="0.25">
      <c r="K67" s="328"/>
      <c r="M67" s="165" t="s">
        <v>88</v>
      </c>
      <c r="N67" s="152" t="str">
        <f>IF(N30&lt;96,"F-GSWT(100)",IF(N30&lt;194,"F-GSWT (200)",IF(N30&lt;304,"F-GSWT (300)",IF(N30&lt;372,"F-GSWT (375)",IF(N30&lt;499,"F-GSWT (500)",IF(N30&lt;599,"F-GSWT (600)",IF(N30&lt;699,"F-GSWT (700)",IF(N30&lt;848,"F-GSWT (850)","PAS DE MODELE"))))))))</f>
        <v>F-GSWT (200)</v>
      </c>
    </row>
    <row r="68" spans="11:25" x14ac:dyDescent="0.25">
      <c r="K68" s="328"/>
      <c r="M68" s="165" t="s">
        <v>90</v>
      </c>
      <c r="N68" s="152" t="str">
        <f>IF(N67="PAS DE MODELE","PAS DE MODELE",VLOOKUP(Q71,bases!B3:C63,2))</f>
        <v>300 L</v>
      </c>
    </row>
    <row r="69" spans="11:25" x14ac:dyDescent="0.25">
      <c r="K69" s="328"/>
    </row>
    <row r="70" spans="11:25" x14ac:dyDescent="0.25">
      <c r="K70" s="328"/>
    </row>
    <row r="71" spans="11:25" ht="26.25" x14ac:dyDescent="0.25">
      <c r="K71" s="328"/>
      <c r="M71" s="168" t="s">
        <v>93</v>
      </c>
      <c r="N71" s="164">
        <f>O24</f>
        <v>406.29894698183284</v>
      </c>
      <c r="O71" s="164">
        <f>ROUNDDOWN(N71,-2)</f>
        <v>400</v>
      </c>
      <c r="P71" s="255">
        <f>N71-O71</f>
        <v>6.2989469818328416</v>
      </c>
      <c r="Q71" s="329">
        <f>IF(P71&lt;50,ROUNDDOWN(N71,-2),ROUNDUP(N71,-2))</f>
        <v>400</v>
      </c>
      <c r="R71">
        <f>VLOOKUP(Q71,bases!E27:F47,2)</f>
        <v>500</v>
      </c>
      <c r="T71" s="168" t="s">
        <v>92</v>
      </c>
      <c r="U71" s="164">
        <f>O24</f>
        <v>406.29894698183284</v>
      </c>
      <c r="V71" s="164">
        <f>ROUNDDOWN(U71,-2)</f>
        <v>400</v>
      </c>
      <c r="W71" s="255"/>
      <c r="X71" s="329"/>
      <c r="Y71">
        <f>VLOOKUP(V71,bases!E27:F47,2)</f>
        <v>500</v>
      </c>
    </row>
    <row r="72" spans="11:25" x14ac:dyDescent="0.25">
      <c r="K72" s="328"/>
    </row>
    <row r="73" spans="11:25" x14ac:dyDescent="0.25">
      <c r="K73" s="328"/>
    </row>
    <row r="74" spans="11:25" x14ac:dyDescent="0.25">
      <c r="K74" s="328"/>
    </row>
    <row r="75" spans="11:25" x14ac:dyDescent="0.25">
      <c r="K75" s="328"/>
    </row>
    <row r="76" spans="11:25" x14ac:dyDescent="0.25">
      <c r="K76" s="328"/>
      <c r="M76" s="165" t="s">
        <v>89</v>
      </c>
      <c r="N76" s="152"/>
    </row>
    <row r="77" spans="11:25" x14ac:dyDescent="0.25">
      <c r="K77" s="328"/>
      <c r="M77" s="152"/>
      <c r="N77" s="152"/>
    </row>
    <row r="78" spans="11:25" x14ac:dyDescent="0.25">
      <c r="K78" s="328"/>
      <c r="M78" s="165" t="s">
        <v>88</v>
      </c>
      <c r="N78" s="152" t="str">
        <f>IF(R39&lt;50,"aqua L (10)",IF(R39&lt;90,"aqua L (16)",IF(R39&lt;115,"aqua L (20)",IF(R39&lt;175,"aqua L (30)",IF(R39&lt;230,"aqua L (40)",IF(R39&lt;275,"aqua L (50)","PAS DE MODELE"))))))</f>
        <v>aqua L (16)</v>
      </c>
    </row>
    <row r="79" spans="11:25" x14ac:dyDescent="0.25">
      <c r="K79" s="328"/>
      <c r="M79" s="165" t="s">
        <v>87</v>
      </c>
      <c r="N79" s="152" t="str">
        <f>IF(N78="PAS DE MODELE","PAS DE MODELE",VLOOKUP(Q39,bases!E3:F23,2))</f>
        <v>300 L</v>
      </c>
    </row>
    <row r="80" spans="11:25" x14ac:dyDescent="0.25">
      <c r="K80" s="328"/>
    </row>
    <row r="81" spans="11:20" x14ac:dyDescent="0.25">
      <c r="K81" s="328"/>
    </row>
    <row r="82" spans="11:20" x14ac:dyDescent="0.25">
      <c r="K82" s="328"/>
    </row>
    <row r="83" spans="11:20" x14ac:dyDescent="0.25">
      <c r="K83" s="328"/>
      <c r="M83" s="168"/>
      <c r="N83" s="169"/>
      <c r="O83" s="152"/>
      <c r="P83" s="169"/>
      <c r="Q83" s="152"/>
      <c r="R83" s="152"/>
      <c r="S83" s="168"/>
      <c r="T83" s="152"/>
    </row>
    <row r="84" spans="11:20" x14ac:dyDescent="0.25">
      <c r="K84" s="328"/>
    </row>
    <row r="85" spans="11:20" x14ac:dyDescent="0.25">
      <c r="K85" s="328"/>
    </row>
  </sheetData>
  <mergeCells count="15">
    <mergeCell ref="P51:R51"/>
    <mergeCell ref="R9:S9"/>
    <mergeCell ref="F44:H44"/>
    <mergeCell ref="D3:E4"/>
    <mergeCell ref="M3:N4"/>
    <mergeCell ref="M7:P7"/>
    <mergeCell ref="M10:M11"/>
    <mergeCell ref="N10:N11"/>
    <mergeCell ref="O10:O11"/>
    <mergeCell ref="P10:P11"/>
    <mergeCell ref="N26:O26"/>
    <mergeCell ref="N29:O29"/>
    <mergeCell ref="N30:O30"/>
    <mergeCell ref="M45:N45"/>
    <mergeCell ref="F45:H45"/>
  </mergeCells>
  <pageMargins left="0.7" right="0.7" top="0.75" bottom="0.75" header="0.3" footer="0.3"/>
  <pageSetup paperSize="9"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4"/>
  <dimension ref="B2:P63"/>
  <sheetViews>
    <sheetView topLeftCell="A19" workbookViewId="0">
      <selection activeCell="J25" sqref="J25"/>
    </sheetView>
  </sheetViews>
  <sheetFormatPr baseColWidth="10" defaultColWidth="11.42578125" defaultRowHeight="12.75" x14ac:dyDescent="0.2"/>
  <cols>
    <col min="1" max="1" width="11.42578125" style="152"/>
    <col min="2" max="2" width="13.85546875" style="152" customWidth="1"/>
    <col min="3" max="16384" width="11.42578125" style="152"/>
  </cols>
  <sheetData>
    <row r="2" spans="2:16" ht="15" x14ac:dyDescent="0.2">
      <c r="B2" s="450" t="s">
        <v>38</v>
      </c>
      <c r="C2" s="450"/>
      <c r="D2" s="189"/>
      <c r="E2" s="451" t="s">
        <v>54</v>
      </c>
      <c r="F2" s="451"/>
      <c r="H2" s="452" t="s">
        <v>57</v>
      </c>
      <c r="I2" s="452"/>
      <c r="J2" s="453"/>
      <c r="L2" s="454" t="s">
        <v>113</v>
      </c>
      <c r="M2" s="455"/>
      <c r="N2" s="453"/>
    </row>
    <row r="3" spans="2:16" ht="15" x14ac:dyDescent="0.25">
      <c r="B3" s="182">
        <v>0</v>
      </c>
      <c r="C3" s="181" t="s">
        <v>112</v>
      </c>
      <c r="D3" s="189"/>
      <c r="E3" s="182">
        <v>0</v>
      </c>
      <c r="F3" s="181" t="s">
        <v>112</v>
      </c>
      <c r="H3" s="188"/>
      <c r="I3" s="188"/>
      <c r="J3" s="187"/>
      <c r="L3" s="186"/>
      <c r="M3" s="186"/>
      <c r="N3" s="186"/>
    </row>
    <row r="4" spans="2:16" ht="26.25" x14ac:dyDescent="0.25">
      <c r="B4" s="182">
        <v>100</v>
      </c>
      <c r="C4" s="181" t="s">
        <v>30</v>
      </c>
      <c r="D4" s="180"/>
      <c r="E4" s="182">
        <v>100</v>
      </c>
      <c r="F4" s="181" t="s">
        <v>30</v>
      </c>
      <c r="H4" s="185" t="s">
        <v>63</v>
      </c>
      <c r="I4" s="185" t="s">
        <v>58</v>
      </c>
      <c r="J4" s="185" t="s">
        <v>59</v>
      </c>
      <c r="L4" s="184" t="s">
        <v>111</v>
      </c>
      <c r="M4" s="184" t="s">
        <v>110</v>
      </c>
      <c r="N4" s="183" t="s">
        <v>106</v>
      </c>
    </row>
    <row r="5" spans="2:16" ht="15" x14ac:dyDescent="0.25">
      <c r="B5" s="182">
        <v>200</v>
      </c>
      <c r="C5" s="181" t="s">
        <v>30</v>
      </c>
      <c r="D5" s="180"/>
      <c r="E5" s="182">
        <v>200</v>
      </c>
      <c r="F5" s="181" t="s">
        <v>30</v>
      </c>
    </row>
    <row r="6" spans="2:16" ht="15" x14ac:dyDescent="0.25">
      <c r="B6" s="182">
        <v>300</v>
      </c>
      <c r="C6" s="181" t="s">
        <v>31</v>
      </c>
      <c r="D6" s="180"/>
      <c r="E6" s="182">
        <v>300</v>
      </c>
      <c r="F6" s="181" t="s">
        <v>31</v>
      </c>
    </row>
    <row r="7" spans="2:16" ht="15" x14ac:dyDescent="0.25">
      <c r="B7" s="182">
        <v>400</v>
      </c>
      <c r="C7" s="181" t="s">
        <v>31</v>
      </c>
      <c r="D7" s="180"/>
      <c r="E7" s="182">
        <v>400</v>
      </c>
      <c r="F7" s="181" t="s">
        <v>32</v>
      </c>
    </row>
    <row r="8" spans="2:16" ht="15" x14ac:dyDescent="0.25">
      <c r="B8" s="182">
        <v>500</v>
      </c>
      <c r="C8" s="181" t="s">
        <v>32</v>
      </c>
      <c r="D8" s="180"/>
      <c r="E8" s="182">
        <v>500</v>
      </c>
      <c r="F8" s="181" t="s">
        <v>32</v>
      </c>
    </row>
    <row r="9" spans="2:16" ht="15" x14ac:dyDescent="0.25">
      <c r="B9" s="182">
        <v>600</v>
      </c>
      <c r="C9" s="181" t="s">
        <v>32</v>
      </c>
      <c r="D9" s="180"/>
      <c r="E9" s="182">
        <v>600</v>
      </c>
      <c r="F9" s="181" t="s">
        <v>33</v>
      </c>
    </row>
    <row r="10" spans="2:16" ht="15" x14ac:dyDescent="0.25">
      <c r="B10" s="182">
        <v>700</v>
      </c>
      <c r="C10" s="181" t="s">
        <v>33</v>
      </c>
      <c r="D10" s="180"/>
      <c r="E10" s="182">
        <v>700</v>
      </c>
      <c r="F10" s="181" t="s">
        <v>33</v>
      </c>
      <c r="H10" s="456" t="s">
        <v>129</v>
      </c>
      <c r="I10" s="457"/>
      <c r="J10" s="409"/>
      <c r="K10" s="409"/>
    </row>
    <row r="11" spans="2:16" ht="15" x14ac:dyDescent="0.25">
      <c r="B11" s="182">
        <v>800</v>
      </c>
      <c r="C11" s="181" t="s">
        <v>33</v>
      </c>
      <c r="D11" s="180"/>
      <c r="E11" s="182">
        <v>800</v>
      </c>
      <c r="F11" s="181" t="s">
        <v>33</v>
      </c>
      <c r="H11" s="457"/>
      <c r="I11" s="457"/>
      <c r="J11" s="409"/>
      <c r="K11" s="409"/>
    </row>
    <row r="12" spans="2:16" ht="15" x14ac:dyDescent="0.25">
      <c r="B12" s="182">
        <v>900</v>
      </c>
      <c r="C12" s="181" t="s">
        <v>34</v>
      </c>
      <c r="D12" s="180"/>
      <c r="E12" s="182">
        <v>900</v>
      </c>
      <c r="F12" s="181" t="s">
        <v>34</v>
      </c>
      <c r="H12" s="236" t="s">
        <v>106</v>
      </c>
      <c r="I12" s="236" t="s">
        <v>130</v>
      </c>
      <c r="J12" s="236" t="s">
        <v>167</v>
      </c>
      <c r="K12" s="287" t="s">
        <v>168</v>
      </c>
    </row>
    <row r="13" spans="2:16" ht="15" x14ac:dyDescent="0.25">
      <c r="B13" s="182">
        <v>1000</v>
      </c>
      <c r="C13" s="181" t="s">
        <v>34</v>
      </c>
      <c r="D13" s="180"/>
      <c r="E13" s="182">
        <v>1000</v>
      </c>
      <c r="F13" s="181" t="s">
        <v>34</v>
      </c>
    </row>
    <row r="14" spans="2:16" ht="15" x14ac:dyDescent="0.25">
      <c r="B14" s="182">
        <v>1100</v>
      </c>
      <c r="C14" s="181" t="s">
        <v>34</v>
      </c>
      <c r="D14" s="180"/>
      <c r="E14" s="182">
        <v>1100</v>
      </c>
      <c r="F14" s="181" t="s">
        <v>34</v>
      </c>
    </row>
    <row r="15" spans="2:16" ht="15" x14ac:dyDescent="0.25">
      <c r="B15" s="182">
        <v>1200</v>
      </c>
      <c r="C15" s="181" t="s">
        <v>35</v>
      </c>
      <c r="D15" s="180"/>
      <c r="E15" s="182">
        <v>1200</v>
      </c>
      <c r="F15" s="181" t="s">
        <v>35</v>
      </c>
    </row>
    <row r="16" spans="2:16" ht="15" x14ac:dyDescent="0.25">
      <c r="B16" s="182">
        <v>1300</v>
      </c>
      <c r="C16" s="181" t="s">
        <v>35</v>
      </c>
      <c r="D16" s="180"/>
      <c r="E16" s="182">
        <v>1300</v>
      </c>
      <c r="F16" s="181" t="s">
        <v>35</v>
      </c>
      <c r="H16" s="466" t="s">
        <v>133</v>
      </c>
      <c r="I16" s="466"/>
      <c r="J16" s="467"/>
      <c r="L16" s="459" t="s">
        <v>137</v>
      </c>
      <c r="M16" s="409"/>
      <c r="N16" s="409"/>
      <c r="O16" s="409"/>
      <c r="P16" s="246"/>
    </row>
    <row r="17" spans="2:16" ht="15" x14ac:dyDescent="0.25">
      <c r="B17" s="182">
        <v>1400</v>
      </c>
      <c r="C17" s="181" t="s">
        <v>35</v>
      </c>
      <c r="D17" s="180"/>
      <c r="E17" s="182">
        <v>1400</v>
      </c>
      <c r="F17" s="181" t="s">
        <v>35</v>
      </c>
      <c r="H17" s="229"/>
      <c r="I17" s="229"/>
      <c r="J17" s="230"/>
      <c r="L17" s="437"/>
      <c r="M17" s="437"/>
      <c r="N17" s="437"/>
      <c r="O17" s="437"/>
      <c r="P17" s="246"/>
    </row>
    <row r="18" spans="2:16" ht="15" x14ac:dyDescent="0.25">
      <c r="B18" s="182">
        <v>1500</v>
      </c>
      <c r="C18" s="181" t="s">
        <v>35</v>
      </c>
      <c r="D18" s="180"/>
      <c r="E18" s="182">
        <v>1500</v>
      </c>
      <c r="F18" s="181" t="s">
        <v>35</v>
      </c>
      <c r="H18" s="185" t="s">
        <v>134</v>
      </c>
      <c r="I18" s="185" t="s">
        <v>135</v>
      </c>
      <c r="J18" s="185" t="s">
        <v>136</v>
      </c>
      <c r="L18" s="185">
        <v>1</v>
      </c>
      <c r="M18" s="185">
        <v>2</v>
      </c>
      <c r="N18" s="185">
        <v>3</v>
      </c>
      <c r="O18" s="185">
        <v>4</v>
      </c>
      <c r="P18" s="249"/>
    </row>
    <row r="19" spans="2:16" ht="15" x14ac:dyDescent="0.25">
      <c r="B19" s="182">
        <v>1600</v>
      </c>
      <c r="C19" s="181" t="s">
        <v>35</v>
      </c>
      <c r="D19" s="180"/>
      <c r="E19" s="182">
        <v>1600</v>
      </c>
      <c r="F19" s="181" t="s">
        <v>35</v>
      </c>
      <c r="L19" s="236">
        <v>70</v>
      </c>
      <c r="M19" s="236">
        <v>100</v>
      </c>
      <c r="N19" s="236">
        <v>120</v>
      </c>
      <c r="O19" s="236">
        <v>150</v>
      </c>
    </row>
    <row r="20" spans="2:16" ht="15" x14ac:dyDescent="0.25">
      <c r="B20" s="182">
        <v>1700</v>
      </c>
      <c r="C20" s="181" t="s">
        <v>35</v>
      </c>
      <c r="D20" s="180"/>
      <c r="E20" s="182">
        <v>1700</v>
      </c>
      <c r="F20" s="181" t="s">
        <v>35</v>
      </c>
    </row>
    <row r="21" spans="2:16" ht="15" x14ac:dyDescent="0.25">
      <c r="B21" s="182">
        <v>1800</v>
      </c>
      <c r="C21" s="181" t="s">
        <v>35</v>
      </c>
      <c r="D21" s="180"/>
      <c r="E21" s="182">
        <v>1800</v>
      </c>
      <c r="F21" s="181" t="s">
        <v>36</v>
      </c>
    </row>
    <row r="22" spans="2:16" ht="15" x14ac:dyDescent="0.25">
      <c r="B22" s="182">
        <v>1900</v>
      </c>
      <c r="C22" s="181" t="s">
        <v>36</v>
      </c>
      <c r="D22" s="180"/>
      <c r="E22" s="182">
        <v>1900</v>
      </c>
      <c r="F22" s="181" t="s">
        <v>36</v>
      </c>
    </row>
    <row r="23" spans="2:16" ht="15" x14ac:dyDescent="0.25">
      <c r="B23" s="182">
        <v>2000</v>
      </c>
      <c r="C23" s="181" t="s">
        <v>36</v>
      </c>
      <c r="D23" s="180"/>
      <c r="E23" s="182">
        <v>2000</v>
      </c>
      <c r="F23" s="181" t="s">
        <v>36</v>
      </c>
      <c r="H23" s="463" t="s">
        <v>140</v>
      </c>
      <c r="I23" s="464"/>
      <c r="K23" s="460" t="s">
        <v>141</v>
      </c>
      <c r="L23" s="461"/>
      <c r="M23" s="409"/>
    </row>
    <row r="24" spans="2:16" ht="15" x14ac:dyDescent="0.25">
      <c r="B24" s="182">
        <v>2100</v>
      </c>
      <c r="C24" s="181" t="s">
        <v>36</v>
      </c>
      <c r="D24" s="180"/>
      <c r="E24" s="179"/>
      <c r="F24" s="179"/>
      <c r="H24" s="465"/>
      <c r="I24" s="465"/>
      <c r="K24" s="462"/>
      <c r="L24" s="462"/>
      <c r="M24" s="409"/>
    </row>
    <row r="25" spans="2:16" ht="15" x14ac:dyDescent="0.25">
      <c r="B25" s="182">
        <v>2200</v>
      </c>
      <c r="C25" s="181" t="s">
        <v>36</v>
      </c>
      <c r="D25" s="180"/>
      <c r="E25" s="179"/>
      <c r="F25" s="179"/>
      <c r="H25" s="237">
        <v>1</v>
      </c>
      <c r="I25" s="237">
        <v>1</v>
      </c>
      <c r="K25" s="237" t="s">
        <v>134</v>
      </c>
      <c r="L25" s="237" t="s">
        <v>135</v>
      </c>
      <c r="M25" s="237" t="s">
        <v>136</v>
      </c>
    </row>
    <row r="26" spans="2:16" ht="30.75" customHeight="1" x14ac:dyDescent="0.25">
      <c r="B26" s="182">
        <v>2300</v>
      </c>
      <c r="C26" s="181" t="s">
        <v>36</v>
      </c>
      <c r="D26" s="180"/>
      <c r="E26" s="458" t="s">
        <v>189</v>
      </c>
      <c r="F26" s="458"/>
      <c r="H26" s="237">
        <v>2</v>
      </c>
      <c r="I26" s="237">
        <v>1.18</v>
      </c>
      <c r="K26" s="237">
        <v>1</v>
      </c>
      <c r="L26" s="237">
        <v>1.1719999999999999</v>
      </c>
      <c r="M26" s="237">
        <v>1.3089999999999999</v>
      </c>
    </row>
    <row r="27" spans="2:16" ht="15" x14ac:dyDescent="0.25">
      <c r="B27" s="182">
        <v>2400</v>
      </c>
      <c r="C27" s="181" t="s">
        <v>37</v>
      </c>
      <c r="D27" s="180"/>
      <c r="E27" s="182">
        <v>0</v>
      </c>
      <c r="F27" s="181">
        <v>100</v>
      </c>
      <c r="H27" s="237">
        <v>3</v>
      </c>
      <c r="I27" s="237">
        <v>1.29</v>
      </c>
      <c r="K27" s="252"/>
      <c r="L27" s="252"/>
      <c r="M27" s="175"/>
    </row>
    <row r="28" spans="2:16" ht="15" x14ac:dyDescent="0.25">
      <c r="B28" s="182">
        <v>2500</v>
      </c>
      <c r="C28" s="181" t="s">
        <v>37</v>
      </c>
      <c r="D28" s="180"/>
      <c r="E28" s="182">
        <v>100</v>
      </c>
      <c r="F28" s="181">
        <v>200</v>
      </c>
      <c r="H28" s="237">
        <v>4</v>
      </c>
      <c r="I28" s="237">
        <v>1.44</v>
      </c>
    </row>
    <row r="29" spans="2:16" ht="15" x14ac:dyDescent="0.25">
      <c r="B29" s="182">
        <v>2600</v>
      </c>
      <c r="C29" s="181" t="s">
        <v>37</v>
      </c>
      <c r="D29" s="180"/>
      <c r="E29" s="182">
        <v>200</v>
      </c>
      <c r="F29" s="181">
        <v>200</v>
      </c>
      <c r="H29" s="237"/>
      <c r="I29" s="237"/>
    </row>
    <row r="30" spans="2:16" ht="15" x14ac:dyDescent="0.25">
      <c r="B30" s="182">
        <v>2700</v>
      </c>
      <c r="C30" s="181" t="s">
        <v>37</v>
      </c>
      <c r="D30" s="180"/>
      <c r="E30" s="182">
        <v>300</v>
      </c>
      <c r="F30" s="181">
        <v>300</v>
      </c>
    </row>
    <row r="31" spans="2:16" ht="15" x14ac:dyDescent="0.25">
      <c r="B31" s="182">
        <v>2800</v>
      </c>
      <c r="C31" s="181" t="s">
        <v>37</v>
      </c>
      <c r="D31" s="180"/>
      <c r="E31" s="182">
        <v>400</v>
      </c>
      <c r="F31" s="181">
        <v>500</v>
      </c>
    </row>
    <row r="32" spans="2:16" ht="15" x14ac:dyDescent="0.25">
      <c r="B32" s="182">
        <v>2900</v>
      </c>
      <c r="C32" s="181" t="s">
        <v>66</v>
      </c>
      <c r="D32" s="180"/>
      <c r="E32" s="182">
        <v>500</v>
      </c>
      <c r="F32" s="181">
        <v>500</v>
      </c>
    </row>
    <row r="33" spans="2:6" ht="15" x14ac:dyDescent="0.25">
      <c r="B33" s="182">
        <v>3000</v>
      </c>
      <c r="C33" s="181" t="s">
        <v>66</v>
      </c>
      <c r="D33" s="180"/>
      <c r="E33" s="182">
        <v>600</v>
      </c>
      <c r="F33" s="181">
        <v>800</v>
      </c>
    </row>
    <row r="34" spans="2:6" ht="15" x14ac:dyDescent="0.25">
      <c r="B34" s="182">
        <v>3100</v>
      </c>
      <c r="C34" s="181" t="s">
        <v>66</v>
      </c>
      <c r="D34" s="180"/>
      <c r="E34" s="182">
        <v>700</v>
      </c>
      <c r="F34" s="181">
        <v>800</v>
      </c>
    </row>
    <row r="35" spans="2:6" ht="15" x14ac:dyDescent="0.25">
      <c r="B35" s="182">
        <v>3200</v>
      </c>
      <c r="C35" s="181" t="s">
        <v>66</v>
      </c>
      <c r="D35" s="180"/>
      <c r="E35" s="182">
        <v>800</v>
      </c>
      <c r="F35" s="181">
        <v>800</v>
      </c>
    </row>
    <row r="36" spans="2:6" ht="15" x14ac:dyDescent="0.25">
      <c r="B36" s="182">
        <v>3300</v>
      </c>
      <c r="C36" s="181" t="s">
        <v>66</v>
      </c>
      <c r="D36" s="180"/>
      <c r="E36" s="182">
        <v>900</v>
      </c>
      <c r="F36" s="181">
        <v>1000</v>
      </c>
    </row>
    <row r="37" spans="2:6" ht="15" x14ac:dyDescent="0.25">
      <c r="B37" s="182">
        <v>3400</v>
      </c>
      <c r="C37" s="181" t="s">
        <v>67</v>
      </c>
      <c r="D37" s="180"/>
      <c r="E37" s="182">
        <v>1000</v>
      </c>
      <c r="F37" s="181">
        <v>1000</v>
      </c>
    </row>
    <row r="38" spans="2:6" ht="15" x14ac:dyDescent="0.25">
      <c r="B38" s="182">
        <v>3500</v>
      </c>
      <c r="C38" s="181" t="s">
        <v>67</v>
      </c>
      <c r="D38" s="180"/>
      <c r="E38" s="182">
        <v>1100</v>
      </c>
      <c r="F38" s="181">
        <v>1000</v>
      </c>
    </row>
    <row r="39" spans="2:6" ht="15" x14ac:dyDescent="0.25">
      <c r="B39" s="182">
        <v>3600</v>
      </c>
      <c r="C39" s="181" t="s">
        <v>67</v>
      </c>
      <c r="D39" s="180"/>
      <c r="E39" s="182">
        <v>1200</v>
      </c>
      <c r="F39" s="181">
        <v>1500</v>
      </c>
    </row>
    <row r="40" spans="2:6" ht="15" x14ac:dyDescent="0.25">
      <c r="B40" s="182">
        <v>3700</v>
      </c>
      <c r="C40" s="181" t="s">
        <v>67</v>
      </c>
      <c r="D40" s="180"/>
      <c r="E40" s="182">
        <v>1300</v>
      </c>
      <c r="F40" s="181">
        <v>1500</v>
      </c>
    </row>
    <row r="41" spans="2:6" ht="15" x14ac:dyDescent="0.25">
      <c r="B41" s="182">
        <v>3800</v>
      </c>
      <c r="C41" s="181" t="s">
        <v>67</v>
      </c>
      <c r="D41" s="180"/>
      <c r="E41" s="182">
        <v>1400</v>
      </c>
      <c r="F41" s="181">
        <v>1500</v>
      </c>
    </row>
    <row r="42" spans="2:6" ht="15" x14ac:dyDescent="0.25">
      <c r="B42" s="182">
        <v>3900</v>
      </c>
      <c r="C42" s="181" t="s">
        <v>67</v>
      </c>
      <c r="D42" s="180"/>
      <c r="E42" s="182">
        <v>1500</v>
      </c>
      <c r="F42" s="181">
        <v>1500</v>
      </c>
    </row>
    <row r="43" spans="2:6" ht="15" x14ac:dyDescent="0.25">
      <c r="B43" s="182">
        <v>4000</v>
      </c>
      <c r="C43" s="181" t="s">
        <v>67</v>
      </c>
      <c r="D43" s="180"/>
      <c r="E43" s="182">
        <v>1600</v>
      </c>
      <c r="F43" s="181">
        <v>1500</v>
      </c>
    </row>
    <row r="44" spans="2:6" ht="15" x14ac:dyDescent="0.25">
      <c r="B44" s="182">
        <v>4100</v>
      </c>
      <c r="C44" s="181" t="s">
        <v>67</v>
      </c>
      <c r="D44" s="180"/>
      <c r="E44" s="182">
        <v>1700</v>
      </c>
      <c r="F44" s="181">
        <v>1500</v>
      </c>
    </row>
    <row r="45" spans="2:6" ht="15" x14ac:dyDescent="0.25">
      <c r="B45" s="182">
        <v>4200</v>
      </c>
      <c r="C45" s="181" t="s">
        <v>67</v>
      </c>
      <c r="D45" s="180"/>
      <c r="E45" s="182">
        <v>1800</v>
      </c>
      <c r="F45" s="181">
        <v>2000</v>
      </c>
    </row>
    <row r="46" spans="2:6" ht="15" x14ac:dyDescent="0.25">
      <c r="B46" s="182">
        <v>4300</v>
      </c>
      <c r="C46" s="181" t="s">
        <v>67</v>
      </c>
      <c r="D46" s="180"/>
      <c r="E46" s="182">
        <v>1900</v>
      </c>
      <c r="F46" s="181">
        <v>2000</v>
      </c>
    </row>
    <row r="47" spans="2:6" ht="15" x14ac:dyDescent="0.25">
      <c r="B47" s="182">
        <v>4400</v>
      </c>
      <c r="C47" s="181" t="s">
        <v>67</v>
      </c>
      <c r="D47" s="180"/>
      <c r="E47" s="182">
        <v>2000</v>
      </c>
      <c r="F47" s="181">
        <v>2000</v>
      </c>
    </row>
    <row r="48" spans="2:6" ht="15" x14ac:dyDescent="0.25">
      <c r="B48" s="182">
        <v>4500</v>
      </c>
      <c r="C48" s="181" t="s">
        <v>68</v>
      </c>
      <c r="D48" s="180"/>
      <c r="E48" s="179"/>
      <c r="F48" s="179"/>
    </row>
    <row r="49" spans="2:6" ht="15" x14ac:dyDescent="0.25">
      <c r="B49" s="182">
        <v>4600</v>
      </c>
      <c r="C49" s="181" t="s">
        <v>68</v>
      </c>
      <c r="D49" s="180"/>
      <c r="E49" s="179"/>
      <c r="F49" s="179"/>
    </row>
    <row r="50" spans="2:6" ht="15" x14ac:dyDescent="0.25">
      <c r="B50" s="182">
        <v>4700</v>
      </c>
      <c r="C50" s="181" t="s">
        <v>68</v>
      </c>
      <c r="D50" s="180"/>
      <c r="E50" s="179"/>
      <c r="F50" s="179"/>
    </row>
    <row r="51" spans="2:6" ht="15" x14ac:dyDescent="0.25">
      <c r="B51" s="182">
        <v>4800</v>
      </c>
      <c r="C51" s="181" t="s">
        <v>68</v>
      </c>
      <c r="D51" s="180"/>
      <c r="E51" s="179"/>
      <c r="F51" s="179"/>
    </row>
    <row r="52" spans="2:6" ht="15" x14ac:dyDescent="0.25">
      <c r="B52" s="182">
        <v>4900</v>
      </c>
      <c r="C52" s="181" t="s">
        <v>68</v>
      </c>
      <c r="D52" s="180"/>
      <c r="E52" s="179"/>
      <c r="F52" s="179"/>
    </row>
    <row r="53" spans="2:6" ht="15" x14ac:dyDescent="0.25">
      <c r="B53" s="182">
        <v>5000</v>
      </c>
      <c r="C53" s="181" t="s">
        <v>68</v>
      </c>
      <c r="D53" s="180"/>
      <c r="E53" s="179"/>
      <c r="F53" s="179"/>
    </row>
    <row r="54" spans="2:6" ht="15" x14ac:dyDescent="0.25">
      <c r="B54" s="182">
        <v>5100</v>
      </c>
      <c r="C54" s="181" t="s">
        <v>68</v>
      </c>
      <c r="D54" s="180"/>
      <c r="E54" s="179"/>
      <c r="F54" s="179"/>
    </row>
    <row r="55" spans="2:6" ht="15" x14ac:dyDescent="0.25">
      <c r="B55" s="182">
        <v>5200</v>
      </c>
      <c r="C55" s="181" t="s">
        <v>68</v>
      </c>
      <c r="D55" s="180"/>
      <c r="E55" s="179"/>
      <c r="F55" s="179"/>
    </row>
    <row r="56" spans="2:6" ht="15" x14ac:dyDescent="0.25">
      <c r="B56" s="182">
        <v>5300</v>
      </c>
      <c r="C56" s="181" t="s">
        <v>68</v>
      </c>
      <c r="D56" s="180"/>
      <c r="E56" s="179"/>
      <c r="F56" s="179"/>
    </row>
    <row r="57" spans="2:6" ht="15" x14ac:dyDescent="0.25">
      <c r="B57" s="182">
        <v>5400</v>
      </c>
      <c r="C57" s="181" t="s">
        <v>68</v>
      </c>
      <c r="D57" s="180"/>
      <c r="E57" s="179"/>
      <c r="F57" s="179"/>
    </row>
    <row r="58" spans="2:6" ht="15" x14ac:dyDescent="0.25">
      <c r="B58" s="182">
        <v>5500</v>
      </c>
      <c r="C58" s="181" t="s">
        <v>68</v>
      </c>
      <c r="D58" s="180"/>
      <c r="E58" s="179"/>
      <c r="F58" s="179"/>
    </row>
    <row r="59" spans="2:6" ht="15" x14ac:dyDescent="0.25">
      <c r="B59" s="182">
        <v>5600</v>
      </c>
      <c r="C59" s="181" t="s">
        <v>68</v>
      </c>
      <c r="D59" s="180"/>
      <c r="E59" s="179"/>
      <c r="F59" s="179"/>
    </row>
    <row r="60" spans="2:6" ht="15" x14ac:dyDescent="0.25">
      <c r="B60" s="182">
        <v>5700</v>
      </c>
      <c r="C60" s="181" t="s">
        <v>68</v>
      </c>
      <c r="D60" s="180"/>
      <c r="E60" s="179"/>
      <c r="F60" s="179"/>
    </row>
    <row r="61" spans="2:6" ht="15" x14ac:dyDescent="0.25">
      <c r="B61" s="182">
        <v>5800</v>
      </c>
      <c r="C61" s="181" t="s">
        <v>68</v>
      </c>
      <c r="D61" s="180"/>
      <c r="E61" s="179"/>
      <c r="F61" s="179"/>
    </row>
    <row r="62" spans="2:6" ht="15" x14ac:dyDescent="0.25">
      <c r="B62" s="182">
        <v>5900</v>
      </c>
      <c r="C62" s="181" t="s">
        <v>68</v>
      </c>
      <c r="D62" s="180"/>
      <c r="E62" s="179"/>
      <c r="F62" s="179"/>
    </row>
    <row r="63" spans="2:6" ht="15" x14ac:dyDescent="0.25">
      <c r="B63" s="182">
        <v>6000</v>
      </c>
      <c r="C63" s="181" t="s">
        <v>68</v>
      </c>
      <c r="D63" s="180"/>
      <c r="E63" s="179"/>
      <c r="F63" s="179"/>
    </row>
  </sheetData>
  <mergeCells count="10">
    <mergeCell ref="E26:F26"/>
    <mergeCell ref="L16:O17"/>
    <mergeCell ref="K23:M24"/>
    <mergeCell ref="H23:I24"/>
    <mergeCell ref="H16:J16"/>
    <mergeCell ref="B2:C2"/>
    <mergeCell ref="E2:F2"/>
    <mergeCell ref="H2:J2"/>
    <mergeCell ref="L2:N2"/>
    <mergeCell ref="H10:K11"/>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1">
    <pageSetUpPr fitToPage="1"/>
  </sheetPr>
  <dimension ref="A1:R35"/>
  <sheetViews>
    <sheetView showGridLines="0" showWhiteSpace="0" zoomScaleNormal="100" workbookViewId="0">
      <selection activeCell="J11" sqref="J11"/>
    </sheetView>
  </sheetViews>
  <sheetFormatPr baseColWidth="10" defaultColWidth="11.42578125" defaultRowHeight="15" x14ac:dyDescent="0.25"/>
  <cols>
    <col min="1" max="1" width="4.5703125" style="34" customWidth="1"/>
    <col min="2" max="2" width="11.42578125" style="34"/>
    <col min="3" max="3" width="26.7109375" style="34" customWidth="1"/>
    <col min="4" max="4" width="6.140625" style="34" customWidth="1"/>
    <col min="5" max="5" width="11.42578125" style="34"/>
    <col min="6" max="6" width="3" style="34" customWidth="1"/>
    <col min="7" max="7" width="20.42578125" style="34" customWidth="1"/>
    <col min="8" max="8" width="14.42578125" style="34" customWidth="1"/>
    <col min="9" max="9" width="11.42578125" style="34"/>
    <col min="10" max="10" width="15.140625" style="34" customWidth="1"/>
    <col min="11" max="11" width="6.140625" style="54" customWidth="1"/>
    <col min="12" max="12" width="11.42578125" style="34"/>
    <col min="13" max="14" width="0" style="34" hidden="1" customWidth="1"/>
    <col min="15" max="15" width="10.7109375" style="34" hidden="1" customWidth="1"/>
    <col min="16" max="16384" width="11.42578125" style="34"/>
  </cols>
  <sheetData>
    <row r="1" spans="2:18" x14ac:dyDescent="0.25">
      <c r="L1" s="38"/>
      <c r="M1" s="38"/>
      <c r="N1" s="38"/>
      <c r="O1" s="38"/>
      <c r="P1" s="38"/>
      <c r="Q1" s="38"/>
      <c r="R1" s="38"/>
    </row>
    <row r="2" spans="2:18" ht="15" customHeight="1" x14ac:dyDescent="0.25">
      <c r="B2" s="482" t="s">
        <v>71</v>
      </c>
      <c r="C2" s="483"/>
      <c r="D2" s="484"/>
      <c r="E2" s="121" t="s">
        <v>40</v>
      </c>
      <c r="F2" s="122"/>
      <c r="G2" s="485" t="s">
        <v>56</v>
      </c>
      <c r="H2" s="486"/>
      <c r="I2" s="487" t="s">
        <v>58</v>
      </c>
      <c r="J2" s="488"/>
      <c r="L2" s="38"/>
      <c r="M2" s="481" t="s">
        <v>61</v>
      </c>
      <c r="N2" s="481"/>
      <c r="O2" s="36">
        <v>50</v>
      </c>
      <c r="P2" s="38"/>
      <c r="Q2" s="38"/>
      <c r="R2" s="38"/>
    </row>
    <row r="3" spans="2:18" ht="15" customHeight="1" x14ac:dyDescent="0.25">
      <c r="B3" s="198"/>
      <c r="C3" s="199"/>
      <c r="D3" s="199"/>
      <c r="E3" s="130"/>
      <c r="F3" s="122"/>
      <c r="G3" s="200"/>
      <c r="H3" s="201"/>
      <c r="I3" s="202"/>
      <c r="J3" s="203"/>
      <c r="L3" s="38"/>
      <c r="M3" s="190"/>
      <c r="N3" s="190"/>
      <c r="O3" s="92"/>
      <c r="P3" s="38"/>
      <c r="Q3" s="38"/>
      <c r="R3" s="38"/>
    </row>
    <row r="4" spans="2:18" ht="15" customHeight="1" x14ac:dyDescent="0.25">
      <c r="B4" s="482" t="s">
        <v>120</v>
      </c>
      <c r="C4" s="483"/>
      <c r="D4" s="484"/>
      <c r="E4" s="121" t="s">
        <v>161</v>
      </c>
      <c r="F4" s="122"/>
      <c r="G4" s="496" t="str">
        <f>IF(E4="Hoval","Données sur la bases Ademe, auxquelles nous avons ajouté un coefficient multiplicateur.","")</f>
        <v>Données sur la bases Ademe, auxquelles nous avons ajouté un coefficient multiplicateur.</v>
      </c>
      <c r="H4" s="497"/>
      <c r="I4" s="497"/>
      <c r="J4" s="497"/>
      <c r="L4" s="38"/>
      <c r="M4" s="190"/>
      <c r="N4" s="190"/>
      <c r="O4" s="92"/>
      <c r="P4" s="38"/>
      <c r="Q4" s="38"/>
      <c r="R4" s="38"/>
    </row>
    <row r="5" spans="2:18" x14ac:dyDescent="0.25">
      <c r="B5" s="123"/>
      <c r="C5" s="123"/>
      <c r="D5" s="123"/>
      <c r="E5" s="123"/>
      <c r="F5" s="122"/>
      <c r="G5" s="122"/>
      <c r="H5" s="122"/>
      <c r="I5" s="122"/>
      <c r="J5" s="122"/>
      <c r="L5" s="38"/>
      <c r="M5" s="38"/>
      <c r="N5" s="38"/>
      <c r="O5" s="38"/>
      <c r="P5" s="38"/>
      <c r="Q5" s="38"/>
      <c r="R5" s="38"/>
    </row>
    <row r="6" spans="2:18" ht="15" customHeight="1" x14ac:dyDescent="0.25">
      <c r="B6" s="489" t="s">
        <v>5</v>
      </c>
      <c r="C6" s="489" t="s">
        <v>6</v>
      </c>
      <c r="D6" s="123"/>
      <c r="E6" s="123"/>
      <c r="F6" s="491"/>
      <c r="G6" s="491"/>
      <c r="H6" s="492"/>
      <c r="I6" s="122"/>
      <c r="J6" s="122"/>
      <c r="L6" s="38"/>
      <c r="M6" s="494"/>
      <c r="N6" s="494"/>
      <c r="O6" s="495"/>
      <c r="P6" s="38"/>
      <c r="Q6" s="38"/>
      <c r="R6" s="38"/>
    </row>
    <row r="7" spans="2:18" ht="23.25" customHeight="1" x14ac:dyDescent="0.25">
      <c r="B7" s="490"/>
      <c r="C7" s="490"/>
      <c r="D7" s="123"/>
      <c r="E7" s="123"/>
      <c r="F7" s="493"/>
      <c r="G7" s="493"/>
      <c r="H7" s="124"/>
      <c r="I7" s="123"/>
      <c r="J7" s="123"/>
      <c r="L7" s="38"/>
      <c r="M7" s="468"/>
      <c r="N7" s="468"/>
      <c r="O7" s="74"/>
      <c r="P7" s="38"/>
      <c r="Q7" s="38"/>
      <c r="R7" s="38"/>
    </row>
    <row r="8" spans="2:18" ht="23.25" customHeight="1" x14ac:dyDescent="0.25">
      <c r="B8" s="125"/>
      <c r="C8" s="125"/>
      <c r="D8" s="123"/>
      <c r="E8" s="123"/>
      <c r="F8" s="126"/>
      <c r="G8" s="126"/>
      <c r="H8" s="124"/>
      <c r="I8" s="123"/>
      <c r="J8" s="123"/>
      <c r="L8" s="38"/>
      <c r="M8" s="468"/>
      <c r="N8" s="468"/>
      <c r="O8" s="74"/>
      <c r="P8" s="38"/>
      <c r="Q8" s="38"/>
      <c r="R8" s="38"/>
    </row>
    <row r="9" spans="2:18" x14ac:dyDescent="0.25">
      <c r="B9" s="127"/>
      <c r="C9" s="128" t="s">
        <v>9</v>
      </c>
      <c r="D9" s="123"/>
      <c r="E9" s="123"/>
      <c r="F9" s="129"/>
      <c r="G9" s="118" t="s">
        <v>64</v>
      </c>
      <c r="H9" s="130"/>
      <c r="I9" s="123"/>
      <c r="J9" s="123"/>
      <c r="L9" s="38"/>
      <c r="M9" s="469"/>
      <c r="N9" s="469"/>
      <c r="O9" s="92"/>
      <c r="P9" s="38"/>
      <c r="Q9" s="38"/>
      <c r="R9" s="38"/>
    </row>
    <row r="10" spans="2:18" x14ac:dyDescent="0.25">
      <c r="B10" s="127">
        <v>15</v>
      </c>
      <c r="C10" s="128" t="s">
        <v>10</v>
      </c>
      <c r="D10" s="123"/>
      <c r="E10" s="123"/>
      <c r="F10" s="131"/>
      <c r="G10" s="258" t="str">
        <f>(IF(OR(I2="Instantanée",I2="Semi Instantanée"),RESULTATS!A12,""))</f>
        <v>Nbr Logt normaux simultanés</v>
      </c>
      <c r="H10" s="259">
        <f>IF(G10="","",RESULTATS!B12)</f>
        <v>9.2458298629946025</v>
      </c>
      <c r="I10" s="123"/>
      <c r="J10" s="123"/>
      <c r="L10" s="38"/>
      <c r="M10" s="38"/>
      <c r="N10" s="38"/>
      <c r="O10" s="38"/>
      <c r="P10" s="38"/>
      <c r="Q10" s="38"/>
      <c r="R10" s="38"/>
    </row>
    <row r="11" spans="2:18" x14ac:dyDescent="0.25">
      <c r="B11" s="127">
        <v>12</v>
      </c>
      <c r="C11" s="128" t="s">
        <v>11</v>
      </c>
      <c r="D11" s="123"/>
      <c r="E11" s="132"/>
      <c r="F11" s="132"/>
      <c r="G11" s="258" t="str">
        <f>(IF(OR(I2="Instantanée",I2="Semi Instantanée"),RESULTATS!A14,""))</f>
        <v>BECS 10 min à ΔT 50°C en L</v>
      </c>
      <c r="H11" s="260">
        <f>IF(G11="","",IF(E4="Standard",RESULTATS!B14,RESULTATS!L14))</f>
        <v>575.78955790880411</v>
      </c>
      <c r="I11" s="123"/>
      <c r="J11" s="123"/>
      <c r="L11" s="38"/>
      <c r="M11" s="38"/>
      <c r="N11" s="38"/>
      <c r="O11" s="38"/>
      <c r="P11" s="38"/>
      <c r="Q11" s="38"/>
      <c r="R11" s="38"/>
    </row>
    <row r="12" spans="2:18" x14ac:dyDescent="0.25">
      <c r="B12" s="127">
        <v>3</v>
      </c>
      <c r="C12" s="128" t="s">
        <v>12</v>
      </c>
      <c r="D12" s="123"/>
      <c r="E12" s="123"/>
      <c r="F12" s="117"/>
      <c r="G12" s="258" t="str">
        <f>(IF(OR(I2="Instantanée",I2="Semi Instantanée"),RESULTATS!A15,""))</f>
        <v>BECS Horaire à ΔT 50°C en L</v>
      </c>
      <c r="H12" s="260">
        <f>IF(G12="","",IF(E4="Standard",RESULTATS!B15,RESULTATS!L15))</f>
        <v>1621.6469628609293</v>
      </c>
      <c r="I12" s="123"/>
      <c r="J12" s="123"/>
      <c r="L12" s="38"/>
      <c r="M12" s="38"/>
      <c r="N12" s="38"/>
      <c r="O12" s="38"/>
      <c r="P12" s="38"/>
      <c r="Q12" s="38"/>
      <c r="R12" s="38"/>
    </row>
    <row r="13" spans="2:18" ht="24" x14ac:dyDescent="0.25">
      <c r="B13" s="127"/>
      <c r="C13" s="128" t="s">
        <v>23</v>
      </c>
      <c r="D13" s="123"/>
      <c r="E13" s="123"/>
      <c r="F13" s="117"/>
      <c r="G13" s="258" t="str">
        <f>IF(I2="Instantanée","Puissance calculée en kW",IF(I2="Semi Instantanée","Puissance calculée en kW",""))</f>
        <v>Puissance calculée en kW</v>
      </c>
      <c r="H13" s="260">
        <f>IF(G13="","",IF(AND(E4="Standard",I2="Instantanée"),RESULTATS!B18,IF(AND(E4="Standard",I2="Semi Instantanée"),RESULTATS!F18,IF(AND(E4="Hoval",I2="Instantanée"),RESULTATS!L18,IF(AND(E4="Hoval",I2="Semi Instantanée"),RESULTATS!O18)))))</f>
        <v>201.52634526808149</v>
      </c>
      <c r="I13" s="123"/>
      <c r="J13" s="123"/>
      <c r="L13" s="85"/>
      <c r="M13" s="86"/>
      <c r="N13" s="38"/>
      <c r="O13" s="38"/>
      <c r="P13" s="38"/>
      <c r="Q13" s="38"/>
      <c r="R13" s="38"/>
    </row>
    <row r="14" spans="2:18" x14ac:dyDescent="0.25">
      <c r="B14" s="127"/>
      <c r="C14" s="128" t="s">
        <v>14</v>
      </c>
      <c r="D14" s="123"/>
      <c r="E14" s="123"/>
      <c r="F14" s="117"/>
      <c r="G14" s="117"/>
      <c r="H14" s="123"/>
      <c r="I14" s="123"/>
      <c r="J14" s="123"/>
      <c r="L14" s="41"/>
      <c r="M14" s="87"/>
      <c r="N14" s="38"/>
      <c r="O14" s="38"/>
      <c r="P14" s="38"/>
      <c r="Q14" s="38"/>
      <c r="R14" s="38"/>
    </row>
    <row r="15" spans="2:18" x14ac:dyDescent="0.25">
      <c r="B15" s="133">
        <f>SUM(B9:B14)</f>
        <v>30</v>
      </c>
      <c r="C15" s="125"/>
      <c r="D15" s="123"/>
      <c r="E15" s="123"/>
      <c r="F15" s="123"/>
      <c r="G15" s="123"/>
      <c r="H15" s="123"/>
      <c r="I15" s="123"/>
      <c r="J15" s="123"/>
      <c r="L15" s="41"/>
      <c r="M15" s="88"/>
      <c r="N15" s="38"/>
      <c r="O15" s="38"/>
      <c r="P15" s="38"/>
      <c r="Q15" s="38"/>
      <c r="R15" s="38"/>
    </row>
    <row r="16" spans="2:18" x14ac:dyDescent="0.25">
      <c r="B16" s="123"/>
      <c r="C16" s="123"/>
      <c r="D16" s="123"/>
      <c r="E16" s="123"/>
      <c r="F16" s="123"/>
      <c r="G16" s="123"/>
      <c r="H16" s="123"/>
      <c r="I16" s="123"/>
      <c r="J16" s="123"/>
      <c r="L16" s="41"/>
      <c r="M16" s="88"/>
      <c r="N16" s="38"/>
      <c r="O16" s="38"/>
      <c r="P16" s="38"/>
      <c r="Q16" s="38"/>
      <c r="R16" s="38"/>
    </row>
    <row r="17" spans="1:18" x14ac:dyDescent="0.25">
      <c r="B17" s="134"/>
      <c r="C17" s="135"/>
      <c r="D17" s="136"/>
      <c r="E17" s="136"/>
      <c r="F17" s="136"/>
      <c r="G17" s="136"/>
      <c r="H17" s="136"/>
      <c r="I17" s="136"/>
      <c r="J17" s="136"/>
      <c r="L17" s="41"/>
      <c r="M17" s="88"/>
      <c r="N17" s="38"/>
      <c r="O17" s="38"/>
      <c r="P17" s="38"/>
      <c r="Q17" s="38"/>
      <c r="R17" s="38"/>
    </row>
    <row r="18" spans="1:18" x14ac:dyDescent="0.25">
      <c r="B18" s="137"/>
      <c r="C18" s="138"/>
      <c r="D18" s="136"/>
      <c r="E18" s="136"/>
      <c r="F18" s="136"/>
      <c r="G18" s="137"/>
      <c r="H18" s="139"/>
      <c r="I18" s="136"/>
      <c r="J18" s="136"/>
      <c r="L18" s="41"/>
      <c r="M18" s="87"/>
      <c r="N18" s="38"/>
      <c r="O18" s="38"/>
      <c r="P18" s="38"/>
      <c r="Q18" s="38"/>
      <c r="R18" s="38"/>
    </row>
    <row r="19" spans="1:18" x14ac:dyDescent="0.25">
      <c r="B19" s="137"/>
      <c r="C19" s="140"/>
      <c r="D19" s="136"/>
      <c r="E19" s="137"/>
      <c r="F19" s="140"/>
      <c r="G19" s="137"/>
      <c r="H19" s="139"/>
      <c r="I19" s="141"/>
      <c r="J19" s="75"/>
      <c r="K19" s="119"/>
      <c r="L19" s="91"/>
      <c r="M19" s="114"/>
      <c r="N19" s="96"/>
      <c r="O19" s="91"/>
      <c r="P19" s="91"/>
      <c r="Q19" s="114"/>
      <c r="R19" s="38"/>
    </row>
    <row r="20" spans="1:18" x14ac:dyDescent="0.25">
      <c r="B20" s="137"/>
      <c r="C20" s="140"/>
      <c r="D20" s="136"/>
      <c r="E20" s="137"/>
      <c r="F20" s="140"/>
      <c r="G20" s="136"/>
      <c r="H20" s="136"/>
      <c r="I20" s="142"/>
      <c r="J20" s="143"/>
      <c r="K20" s="120"/>
      <c r="L20" s="38"/>
      <c r="M20" s="38"/>
      <c r="N20" s="38"/>
      <c r="O20" s="96"/>
      <c r="P20" s="38"/>
      <c r="Q20" s="38"/>
      <c r="R20" s="38"/>
    </row>
    <row r="21" spans="1:18" x14ac:dyDescent="0.25">
      <c r="B21" s="137"/>
      <c r="C21" s="140"/>
      <c r="D21" s="136"/>
      <c r="E21" s="137"/>
      <c r="F21" s="140"/>
      <c r="G21" s="136"/>
      <c r="H21" s="136"/>
      <c r="I21" s="136"/>
      <c r="J21" s="136"/>
      <c r="L21" s="89"/>
      <c r="M21" s="105"/>
      <c r="N21" s="38"/>
      <c r="O21" s="97"/>
      <c r="P21" s="106"/>
      <c r="Q21" s="107"/>
      <c r="R21" s="38"/>
    </row>
    <row r="22" spans="1:18" ht="15" customHeight="1" x14ac:dyDescent="0.25">
      <c r="B22" s="473" t="s">
        <v>62</v>
      </c>
      <c r="C22" s="473"/>
      <c r="D22" s="136"/>
      <c r="E22" s="137"/>
      <c r="F22" s="139"/>
      <c r="G22" s="261" t="str">
        <f>IF(I2="Instantanée","Calculs Puissance d'appel","")</f>
        <v>Calculs Puissance d'appel</v>
      </c>
      <c r="H22" s="136"/>
      <c r="I22" s="136"/>
      <c r="J22" s="136"/>
      <c r="L22" s="90"/>
      <c r="M22" s="108"/>
      <c r="N22" s="38"/>
      <c r="O22" s="98"/>
      <c r="P22" s="109"/>
      <c r="Q22" s="110"/>
      <c r="R22" s="38"/>
    </row>
    <row r="23" spans="1:18" x14ac:dyDescent="0.25">
      <c r="B23" s="266" t="str">
        <f>IF(I2="Instantanée","TransTherm",IF(I2="Semi Instantanée","TansTherm",""))</f>
        <v>TransTherm</v>
      </c>
      <c r="C23" s="116" t="str">
        <f>(IF(AND(I2="Instantanée",E4="Standard"),RESULTATS!B20,(IF(AND(I2="Semi Instantanée",E4="Standard"),RESULTATS!F20,IF(AND(I2="Instantanée",E4="Hoval"),RESULTATS!L20,(IF(AND(I2="Semi Instantanée",E4="Hoval"),RESULTATS!O20,"")))))))</f>
        <v>F-GSWT (300)</v>
      </c>
      <c r="D23" s="136"/>
      <c r="E23" s="144"/>
      <c r="F23" s="135"/>
      <c r="G23" s="262" t="str">
        <f>IF(G22="Calculs Puissance d'appel","saisie Volume Ballon Primaire en L","")</f>
        <v>saisie Volume Ballon Primaire en L</v>
      </c>
      <c r="H23" s="147">
        <v>500</v>
      </c>
      <c r="I23" s="145"/>
      <c r="J23" s="136"/>
      <c r="L23" s="38"/>
      <c r="M23" s="38"/>
      <c r="N23" s="38"/>
      <c r="O23" s="38"/>
      <c r="P23" s="38"/>
      <c r="Q23" s="38"/>
      <c r="R23" s="38"/>
    </row>
    <row r="24" spans="1:18" ht="15" customHeight="1" x14ac:dyDescent="0.25">
      <c r="B24" s="263" t="str">
        <f>IF(I2="Instantanée","Ballon EnerVal",IF(I2="Semi Instantanée","Ballon CombiVal",""))</f>
        <v>Ballon EnerVal</v>
      </c>
      <c r="C24" s="116" t="str">
        <f>(IF(AND(I2="Instantanée",E4="Standard"),RESULTATS!B21,(IF(AND(I2="Semi Instantanée",E4="Standard"),RESULTATS!F21,IF(AND(I2="Instantanée",E4="Hoval"),RESULTATS!L21,(IF(AND(I2="Semi Instantanée",E4="Hoval"),RESULTATS!O21,"")))))))</f>
        <v>500 L</v>
      </c>
      <c r="D24" s="54"/>
      <c r="E24" s="54"/>
      <c r="F24" s="54"/>
      <c r="G24" s="263" t="str">
        <f>IF(G22="Calculs Puissance d'Appel",RESULTATS!A28,"")</f>
        <v>Puissance d'appel en kW</v>
      </c>
      <c r="H24" s="265">
        <f>IF(OR(I2="Choisir la production",I2="Semi Instantanée"),"",IF(E4="Standard",RESULTATS!B28,RESULTATS!L28))</f>
        <v>130.16770144677844</v>
      </c>
      <c r="I24" s="54"/>
      <c r="L24" s="38"/>
      <c r="M24" s="38"/>
      <c r="N24" s="38"/>
      <c r="O24" s="38"/>
      <c r="P24" s="38"/>
      <c r="Q24" s="38"/>
      <c r="R24" s="38"/>
    </row>
    <row r="25" spans="1:18" ht="15" customHeight="1" x14ac:dyDescent="0.25">
      <c r="A25" s="54"/>
      <c r="B25" s="304"/>
      <c r="C25" s="305"/>
      <c r="D25" s="305"/>
      <c r="E25" s="305"/>
      <c r="F25" s="305"/>
      <c r="G25" s="264" t="str">
        <f>IF(G22="Calculs Puissance d'Appel",RESULTATS!A30,"")</f>
        <v>Debit primaire en m3/h</v>
      </c>
      <c r="H25" s="265">
        <f>IF(OR(I2="Choisir la production",I2="Semi Instantanée"),"",IF(E4="Standard",RESULTATS!B30,RESULTATS!L30))</f>
        <v>2.8053383932495355</v>
      </c>
      <c r="I25" s="54"/>
      <c r="J25" s="54"/>
      <c r="L25" s="470"/>
      <c r="M25" s="471"/>
      <c r="N25" s="38"/>
      <c r="O25" s="38"/>
      <c r="P25" s="38"/>
      <c r="Q25" s="38"/>
      <c r="R25" s="38"/>
    </row>
    <row r="26" spans="1:18" x14ac:dyDescent="0.25">
      <c r="A26" s="54"/>
      <c r="B26" s="305"/>
      <c r="C26" s="305"/>
      <c r="D26" s="305"/>
      <c r="E26" s="305"/>
      <c r="F26" s="305"/>
      <c r="G26" s="305"/>
      <c r="H26" s="305"/>
      <c r="I26" s="54"/>
      <c r="J26" s="54"/>
      <c r="L26" s="27"/>
      <c r="M26" s="111"/>
      <c r="N26" s="38"/>
      <c r="O26" s="38"/>
      <c r="P26" s="38"/>
      <c r="Q26" s="38"/>
      <c r="R26" s="38"/>
    </row>
    <row r="27" spans="1:18" x14ac:dyDescent="0.25">
      <c r="L27" s="38"/>
      <c r="M27" s="38"/>
      <c r="N27" s="38"/>
      <c r="O27" s="38"/>
      <c r="P27" s="38"/>
      <c r="Q27" s="38"/>
      <c r="R27" s="38"/>
    </row>
    <row r="28" spans="1:18" x14ac:dyDescent="0.25">
      <c r="L28" s="38"/>
      <c r="M28" s="38"/>
      <c r="N28" s="38"/>
      <c r="O28" s="38"/>
      <c r="P28" s="38"/>
      <c r="Q28" s="38"/>
      <c r="R28" s="38"/>
    </row>
    <row r="29" spans="1:18" x14ac:dyDescent="0.25">
      <c r="L29" s="112"/>
      <c r="M29" s="113"/>
      <c r="N29" s="38"/>
      <c r="O29" s="38"/>
      <c r="P29" s="38"/>
      <c r="Q29" s="38"/>
      <c r="R29" s="38"/>
    </row>
    <row r="30" spans="1:18" x14ac:dyDescent="0.25">
      <c r="A30" s="480" t="s">
        <v>174</v>
      </c>
      <c r="B30" s="429"/>
      <c r="C30" s="429"/>
      <c r="D30" s="429"/>
      <c r="E30" s="429"/>
      <c r="F30" s="429"/>
      <c r="G30" s="429"/>
      <c r="H30" s="429"/>
      <c r="I30" s="429"/>
      <c r="L30" s="38"/>
      <c r="M30" s="38"/>
      <c r="N30" s="38"/>
      <c r="O30" s="38"/>
      <c r="P30" s="38"/>
      <c r="Q30" s="38"/>
      <c r="R30" s="38"/>
    </row>
    <row r="31" spans="1:18" ht="15" customHeight="1" x14ac:dyDescent="0.25">
      <c r="A31" s="429"/>
      <c r="B31" s="429"/>
      <c r="C31" s="429"/>
      <c r="D31" s="429"/>
      <c r="E31" s="429"/>
      <c r="F31" s="429"/>
      <c r="G31" s="429"/>
      <c r="H31" s="429"/>
      <c r="I31" s="429"/>
      <c r="L31" s="474"/>
      <c r="M31" s="476"/>
      <c r="N31" s="38"/>
      <c r="O31" s="38"/>
      <c r="P31" s="38"/>
      <c r="Q31" s="38"/>
      <c r="R31" s="38"/>
    </row>
    <row r="32" spans="1:18" ht="18.75" customHeight="1" x14ac:dyDescent="0.25">
      <c r="A32" s="429"/>
      <c r="B32" s="429"/>
      <c r="C32" s="429"/>
      <c r="D32" s="429"/>
      <c r="E32" s="429"/>
      <c r="F32" s="429"/>
      <c r="G32" s="429"/>
      <c r="H32" s="429"/>
      <c r="I32" s="429"/>
      <c r="L32" s="475"/>
      <c r="M32" s="477"/>
      <c r="N32" s="38"/>
      <c r="O32" s="38"/>
      <c r="P32" s="38"/>
      <c r="Q32" s="38"/>
      <c r="R32" s="38"/>
    </row>
    <row r="33" spans="1:18" x14ac:dyDescent="0.25">
      <c r="A33" s="429"/>
      <c r="B33" s="429"/>
      <c r="C33" s="429"/>
      <c r="D33" s="429"/>
      <c r="E33" s="429"/>
      <c r="F33" s="429"/>
      <c r="G33" s="429"/>
      <c r="H33" s="429"/>
      <c r="I33" s="429"/>
      <c r="K33" s="478"/>
      <c r="L33" s="479"/>
      <c r="M33" s="38"/>
      <c r="N33" s="38"/>
      <c r="O33" s="38"/>
      <c r="P33" s="38"/>
      <c r="Q33" s="38"/>
      <c r="R33" s="38"/>
    </row>
    <row r="34" spans="1:18" x14ac:dyDescent="0.25">
      <c r="B34" s="472"/>
      <c r="C34" s="472"/>
      <c r="D34" s="472"/>
      <c r="E34" s="472"/>
      <c r="F34" s="472"/>
      <c r="G34" s="472"/>
      <c r="H34" s="472"/>
    </row>
    <row r="35" spans="1:18" x14ac:dyDescent="0.25">
      <c r="B35" s="472"/>
      <c r="C35" s="472"/>
      <c r="D35" s="472"/>
      <c r="E35" s="472"/>
      <c r="F35" s="472"/>
      <c r="G35" s="472"/>
      <c r="H35" s="472"/>
    </row>
  </sheetData>
  <sheetProtection algorithmName="SHA-512" hashValue="mu6SdCH8Z4IREpexPRAmmeee+cWTnwZK03SqBzAAeatNSdMPjZvVHbARtt3Hb7je8VvqBHTPtkwccITw05M6xA==" saltValue="6Xn4cjbHsSgdmH+tn6tQtg==" spinCount="100000" sheet="1" objects="1" scenarios="1"/>
  <dataConsolidate/>
  <mergeCells count="21">
    <mergeCell ref="M2:N2"/>
    <mergeCell ref="B2:D2"/>
    <mergeCell ref="G2:H2"/>
    <mergeCell ref="I2:J2"/>
    <mergeCell ref="B6:B7"/>
    <mergeCell ref="C6:C7"/>
    <mergeCell ref="F6:H6"/>
    <mergeCell ref="F7:G7"/>
    <mergeCell ref="M6:O6"/>
    <mergeCell ref="M7:N7"/>
    <mergeCell ref="B4:D4"/>
    <mergeCell ref="G4:J4"/>
    <mergeCell ref="M8:N8"/>
    <mergeCell ref="M9:N9"/>
    <mergeCell ref="L25:M25"/>
    <mergeCell ref="B34:H35"/>
    <mergeCell ref="B22:C22"/>
    <mergeCell ref="L31:L32"/>
    <mergeCell ref="M31:M32"/>
    <mergeCell ref="K33:L33"/>
    <mergeCell ref="A30:I33"/>
  </mergeCells>
  <pageMargins left="0.7" right="0.7" top="0.75" bottom="0.75" header="0.3" footer="0.3"/>
  <pageSetup paperSize="9" scale="93" fitToHeight="0" orientation="landscape" horizontalDpi="4294967293" verticalDpi="4294967293"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C00-000000000000}">
          <x14:formula1>
            <xm:f>calcul!$AJ$6:$AL$6</xm:f>
          </x14:formula1>
          <xm:sqref>I2:J3</xm:sqref>
        </x14:dataValidation>
        <x14:dataValidation type="list" allowBlank="1" showInputMessage="1" showErrorMessage="1" xr:uid="{00000000-0002-0000-0C00-000001000000}">
          <x14:formula1>
            <xm:f>calcul!$AF$6:$AH$6</xm:f>
          </x14:formula1>
          <xm:sqref>E2:E3</xm:sqref>
        </x14:dataValidation>
        <x14:dataValidation type="list" allowBlank="1" showInputMessage="1" showErrorMessage="1" xr:uid="{00000000-0002-0000-0C00-000002000000}">
          <x14:formula1>
            <xm:f>calcul!$AK$11</xm:f>
          </x14:formula1>
          <xm:sqref>E4</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5"/>
  <dimension ref="A2:O31"/>
  <sheetViews>
    <sheetView showGridLines="0" topLeftCell="A13" zoomScale="90" zoomScaleNormal="90" workbookViewId="0">
      <selection activeCell="G17" sqref="G17"/>
    </sheetView>
  </sheetViews>
  <sheetFormatPr baseColWidth="10" defaultRowHeight="15" x14ac:dyDescent="0.25"/>
  <cols>
    <col min="9" max="9" width="4.42578125" style="55" customWidth="1"/>
  </cols>
  <sheetData>
    <row r="2" spans="1:15" x14ac:dyDescent="0.25">
      <c r="B2" s="498" t="s">
        <v>22</v>
      </c>
      <c r="C2" s="498"/>
      <c r="D2" s="499"/>
    </row>
    <row r="3" spans="1:15" ht="24.95" customHeight="1" x14ac:dyDescent="0.25">
      <c r="B3" s="500" t="s">
        <v>42</v>
      </c>
      <c r="C3" s="500"/>
      <c r="D3" s="35">
        <v>50</v>
      </c>
    </row>
    <row r="4" spans="1:15" ht="24.95" customHeight="1" x14ac:dyDescent="0.25">
      <c r="B4" s="500" t="s">
        <v>43</v>
      </c>
      <c r="C4" s="500"/>
      <c r="D4" s="35">
        <v>120</v>
      </c>
    </row>
    <row r="5" spans="1:15" x14ac:dyDescent="0.25">
      <c r="B5" s="481" t="s">
        <v>3</v>
      </c>
      <c r="C5" s="481"/>
      <c r="D5" s="36">
        <f>'LOGEMENTS COLLECTIFS'!O2</f>
        <v>50</v>
      </c>
    </row>
    <row r="7" spans="1:15" x14ac:dyDescent="0.25">
      <c r="K7" s="507" t="s">
        <v>127</v>
      </c>
      <c r="L7" s="507"/>
      <c r="M7" s="507"/>
      <c r="N7" s="507"/>
      <c r="O7" s="507"/>
    </row>
    <row r="8" spans="1:15" x14ac:dyDescent="0.25">
      <c r="K8" s="507"/>
      <c r="L8" s="507"/>
      <c r="M8" s="507"/>
      <c r="N8" s="507"/>
      <c r="O8" s="507"/>
    </row>
    <row r="12" spans="1:15" ht="39" x14ac:dyDescent="0.25">
      <c r="A12" s="37" t="s">
        <v>158</v>
      </c>
      <c r="B12" s="45">
        <f>calcul!F15</f>
        <v>9.2458298629946025</v>
      </c>
    </row>
    <row r="13" spans="1:15" x14ac:dyDescent="0.25">
      <c r="A13" s="39"/>
      <c r="B13" s="40"/>
    </row>
    <row r="14" spans="1:15" ht="39" x14ac:dyDescent="0.25">
      <c r="A14" s="42" t="s">
        <v>44</v>
      </c>
      <c r="B14" s="46">
        <f>calcul!B18</f>
        <v>462.29149314973012</v>
      </c>
      <c r="K14" s="42" t="s">
        <v>44</v>
      </c>
      <c r="L14" s="219">
        <f>calcul!G18</f>
        <v>575.78955790880411</v>
      </c>
    </row>
    <row r="15" spans="1:15" ht="39" x14ac:dyDescent="0.25">
      <c r="A15" s="42" t="s">
        <v>153</v>
      </c>
      <c r="B15" s="46">
        <f>calcul!B19</f>
        <v>1109.4995835593522</v>
      </c>
      <c r="K15" s="42" t="s">
        <v>153</v>
      </c>
      <c r="L15" s="219">
        <f>calcul!G19</f>
        <v>1621.6469628609293</v>
      </c>
    </row>
    <row r="16" spans="1:15" ht="26.25" x14ac:dyDescent="0.25">
      <c r="A16" s="42" t="s">
        <v>45</v>
      </c>
      <c r="B16" s="46">
        <f>calcul!B20</f>
        <v>46.229149314973014</v>
      </c>
      <c r="K16" s="42" t="s">
        <v>45</v>
      </c>
      <c r="L16" s="219">
        <f>calcul!F20</f>
        <v>57.578955790880414</v>
      </c>
    </row>
    <row r="17" spans="1:15" x14ac:dyDescent="0.25">
      <c r="A17" s="39"/>
      <c r="B17" s="40"/>
    </row>
    <row r="18" spans="1:15" ht="39" x14ac:dyDescent="0.25">
      <c r="A18" s="83" t="s">
        <v>46</v>
      </c>
      <c r="B18" s="84">
        <f>calcul!B25</f>
        <v>161.80202260240557</v>
      </c>
      <c r="E18" s="81" t="s">
        <v>53</v>
      </c>
      <c r="F18" s="82">
        <f>calcul!B27</f>
        <v>64.505789741822795</v>
      </c>
      <c r="K18" s="220" t="s">
        <v>46</v>
      </c>
      <c r="L18" s="221">
        <f>calcul!J18</f>
        <v>201.52634526808149</v>
      </c>
      <c r="N18" s="81" t="s">
        <v>53</v>
      </c>
      <c r="O18" s="222">
        <f>calcul!J19</f>
        <v>94.281800166333099</v>
      </c>
    </row>
    <row r="19" spans="1:15" x14ac:dyDescent="0.25">
      <c r="A19" s="34"/>
      <c r="B19" s="34"/>
      <c r="E19" s="34"/>
      <c r="F19" s="34"/>
    </row>
    <row r="20" spans="1:15" x14ac:dyDescent="0.25">
      <c r="A20" s="43" t="s">
        <v>28</v>
      </c>
      <c r="B20" s="100" t="str">
        <f>calcul!B38</f>
        <v>F-GSWT (200)</v>
      </c>
      <c r="E20" s="79" t="s">
        <v>28</v>
      </c>
      <c r="F20" s="101" t="str">
        <f>calcul!B52</f>
        <v>aqua L (16)</v>
      </c>
      <c r="K20" s="43" t="s">
        <v>28</v>
      </c>
      <c r="L20" s="100" t="str">
        <f>calcul!I38</f>
        <v>F-GSWT (300)</v>
      </c>
      <c r="N20" s="79" t="s">
        <v>28</v>
      </c>
      <c r="O20" s="101" t="str">
        <f>calcul!I52</f>
        <v>aqua L (20)</v>
      </c>
    </row>
    <row r="21" spans="1:15" x14ac:dyDescent="0.25">
      <c r="A21" s="44" t="s">
        <v>29</v>
      </c>
      <c r="B21" s="103" t="str">
        <f>calcul!B39</f>
        <v>500 L</v>
      </c>
      <c r="E21" s="80" t="s">
        <v>55</v>
      </c>
      <c r="F21" s="104" t="str">
        <f>calcul!B53</f>
        <v>200 L</v>
      </c>
      <c r="K21" s="44" t="s">
        <v>29</v>
      </c>
      <c r="L21" s="103" t="str">
        <f>calcul!I39</f>
        <v>500 L</v>
      </c>
      <c r="N21" s="80" t="s">
        <v>55</v>
      </c>
      <c r="O21" s="104" t="str">
        <f>calcul!I53</f>
        <v>300 L</v>
      </c>
    </row>
    <row r="22" spans="1:15" x14ac:dyDescent="0.25">
      <c r="A22" s="34"/>
      <c r="B22" s="34"/>
    </row>
    <row r="23" spans="1:15" x14ac:dyDescent="0.25">
      <c r="A23" s="34"/>
      <c r="B23" s="34"/>
    </row>
    <row r="24" spans="1:15" x14ac:dyDescent="0.25">
      <c r="A24" s="501" t="s">
        <v>48</v>
      </c>
      <c r="B24" s="502"/>
      <c r="K24" s="501" t="s">
        <v>48</v>
      </c>
      <c r="L24" s="502"/>
    </row>
    <row r="25" spans="1:15" ht="38.25" x14ac:dyDescent="0.25">
      <c r="A25" s="16" t="s">
        <v>60</v>
      </c>
      <c r="B25" s="22">
        <f>'LOGEMENTS COLLECTIFS'!H23</f>
        <v>500</v>
      </c>
      <c r="K25" s="16" t="s">
        <v>60</v>
      </c>
      <c r="L25" s="22">
        <f>'LOGEMENTS COLLECTIFS'!H23</f>
        <v>500</v>
      </c>
    </row>
    <row r="26" spans="1:15" x14ac:dyDescent="0.25">
      <c r="A26" s="34"/>
      <c r="B26" s="34"/>
      <c r="K26" s="34"/>
      <c r="L26" s="34"/>
    </row>
    <row r="27" spans="1:15" x14ac:dyDescent="0.25">
      <c r="A27" s="34"/>
      <c r="B27" s="34"/>
      <c r="K27" s="34"/>
      <c r="L27" s="34"/>
    </row>
    <row r="28" spans="1:15" ht="38.25" x14ac:dyDescent="0.25">
      <c r="A28" s="99" t="s">
        <v>65</v>
      </c>
      <c r="B28" s="115">
        <f>calcul!T15</f>
        <v>99.941812041785141</v>
      </c>
      <c r="K28" s="99" t="s">
        <v>65</v>
      </c>
      <c r="L28" s="115">
        <f>calcul!T47</f>
        <v>130.16770144677844</v>
      </c>
    </row>
    <row r="29" spans="1:15" x14ac:dyDescent="0.25">
      <c r="A29" s="34"/>
      <c r="B29" s="34"/>
      <c r="K29" s="34"/>
      <c r="L29" s="34"/>
    </row>
    <row r="30" spans="1:15" x14ac:dyDescent="0.25">
      <c r="A30" s="503" t="s">
        <v>49</v>
      </c>
      <c r="B30" s="505">
        <f>calcul!P20</f>
        <v>2.1539183629695073</v>
      </c>
      <c r="K30" s="503" t="s">
        <v>49</v>
      </c>
      <c r="L30" s="505">
        <f>calcul!P51</f>
        <v>2.8053383932495355</v>
      </c>
    </row>
    <row r="31" spans="1:15" x14ac:dyDescent="0.25">
      <c r="A31" s="504"/>
      <c r="B31" s="506"/>
      <c r="K31" s="504"/>
      <c r="L31" s="506"/>
    </row>
  </sheetData>
  <mergeCells count="11">
    <mergeCell ref="K24:L24"/>
    <mergeCell ref="K30:K31"/>
    <mergeCell ref="L30:L31"/>
    <mergeCell ref="K7:O8"/>
    <mergeCell ref="A30:A31"/>
    <mergeCell ref="B30:B31"/>
    <mergeCell ref="B2:D2"/>
    <mergeCell ref="B3:C3"/>
    <mergeCell ref="B4:C4"/>
    <mergeCell ref="B5:C5"/>
    <mergeCell ref="A24:B24"/>
  </mergeCells>
  <pageMargins left="0.7" right="0.7" top="0.75" bottom="0.75" header="0.3" footer="0.3"/>
  <pageSetup paperSize="9" orientation="portrait" horizontalDpi="300"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2"/>
  <dimension ref="A1:AL450"/>
  <sheetViews>
    <sheetView showGridLines="0" topLeftCell="S1" zoomScale="80" zoomScaleNormal="80" workbookViewId="0">
      <selection activeCell="T47" sqref="T47:U48"/>
    </sheetView>
  </sheetViews>
  <sheetFormatPr baseColWidth="10" defaultRowHeight="15" x14ac:dyDescent="0.25"/>
  <cols>
    <col min="1" max="1" width="11.42578125" style="1"/>
    <col min="2" max="2" width="26.42578125" style="1" customWidth="1"/>
    <col min="3" max="4" width="11.42578125" style="1"/>
    <col min="5" max="5" width="21.28515625" style="1" customWidth="1"/>
    <col min="6" max="6" width="20.140625" style="1" customWidth="1"/>
    <col min="7" max="7" width="11.42578125" style="1"/>
    <col min="8" max="8" width="15.7109375" style="1" customWidth="1"/>
    <col min="9" max="9" width="19.28515625" style="1" customWidth="1"/>
    <col min="10" max="12" width="11.42578125" style="1"/>
    <col min="13" max="13" width="3.42578125" style="29" customWidth="1"/>
    <col min="14" max="14" width="11.85546875" style="30" customWidth="1"/>
    <col min="15" max="15" width="32.85546875" customWidth="1"/>
    <col min="23" max="23" width="3.42578125" customWidth="1"/>
    <col min="26" max="26" width="17.28515625" customWidth="1"/>
    <col min="27" max="27" width="5.42578125" style="76" customWidth="1"/>
    <col min="28" max="28" width="11.42578125" customWidth="1"/>
    <col min="29" max="29" width="17.28515625" customWidth="1"/>
    <col min="31" max="31" width="32.42578125" customWidth="1"/>
  </cols>
  <sheetData>
    <row r="1" spans="1:38" x14ac:dyDescent="0.25">
      <c r="M1" s="55"/>
      <c r="W1" s="55"/>
    </row>
    <row r="2" spans="1:38" x14ac:dyDescent="0.25">
      <c r="M2" s="55"/>
      <c r="W2" s="55"/>
    </row>
    <row r="3" spans="1:38" x14ac:dyDescent="0.25">
      <c r="M3" s="55"/>
      <c r="W3" s="55"/>
    </row>
    <row r="4" spans="1:38" ht="21.75" customHeight="1" x14ac:dyDescent="0.25">
      <c r="A4" s="442" t="s">
        <v>5</v>
      </c>
      <c r="B4" s="442" t="s">
        <v>6</v>
      </c>
      <c r="C4" s="442" t="s">
        <v>7</v>
      </c>
      <c r="D4" s="443" t="s">
        <v>8</v>
      </c>
      <c r="E4" s="2"/>
      <c r="F4" s="2"/>
      <c r="G4" s="538" t="s">
        <v>22</v>
      </c>
      <c r="H4" s="538"/>
      <c r="I4" s="539"/>
      <c r="J4" s="56"/>
      <c r="K4" s="56"/>
      <c r="L4" s="56"/>
      <c r="M4" s="55"/>
      <c r="O4" s="510" t="s">
        <v>125</v>
      </c>
      <c r="P4" s="511"/>
      <c r="Q4" s="511"/>
      <c r="R4" s="1"/>
      <c r="S4" s="1"/>
      <c r="T4" s="1"/>
      <c r="W4" s="55"/>
    </row>
    <row r="5" spans="1:38" ht="24" customHeight="1" x14ac:dyDescent="0.25">
      <c r="A5" s="442"/>
      <c r="B5" s="442"/>
      <c r="C5" s="442"/>
      <c r="D5" s="443"/>
      <c r="E5" s="2"/>
      <c r="F5" s="2"/>
      <c r="G5" s="540" t="s">
        <v>1</v>
      </c>
      <c r="H5" s="540"/>
      <c r="I5" s="13">
        <v>50</v>
      </c>
      <c r="J5" s="57"/>
      <c r="K5" s="57"/>
      <c r="L5" s="57"/>
      <c r="M5" s="55"/>
      <c r="O5" s="20"/>
      <c r="P5" s="21"/>
      <c r="Q5" s="1"/>
      <c r="R5" s="1"/>
      <c r="S5" s="1"/>
      <c r="T5" s="1"/>
      <c r="W5" s="55"/>
      <c r="AE5" s="537" t="s">
        <v>47</v>
      </c>
      <c r="AF5" s="537"/>
      <c r="AG5" s="537"/>
      <c r="AH5" s="537"/>
      <c r="AJ5" s="528" t="s">
        <v>57</v>
      </c>
      <c r="AK5" s="528"/>
      <c r="AL5" s="409"/>
    </row>
    <row r="6" spans="1:38" ht="38.25" customHeight="1" x14ac:dyDescent="0.25">
      <c r="A6" s="2"/>
      <c r="B6" s="2"/>
      <c r="C6" s="2"/>
      <c r="D6" s="2"/>
      <c r="E6" s="2"/>
      <c r="F6" s="2"/>
      <c r="G6" s="540" t="s">
        <v>19</v>
      </c>
      <c r="H6" s="540"/>
      <c r="I6" s="13">
        <v>120</v>
      </c>
      <c r="J6" s="57"/>
      <c r="K6" s="57"/>
      <c r="L6" s="57"/>
      <c r="M6" s="55"/>
      <c r="O6" s="1"/>
      <c r="P6" s="1"/>
      <c r="Q6" s="1"/>
      <c r="R6" s="1"/>
      <c r="S6" s="1"/>
      <c r="T6" s="1"/>
      <c r="W6" s="55"/>
      <c r="Y6" s="536" t="s">
        <v>38</v>
      </c>
      <c r="Z6" s="536"/>
      <c r="AA6" s="77"/>
      <c r="AB6" s="529" t="s">
        <v>54</v>
      </c>
      <c r="AC6" s="529"/>
      <c r="AD6" s="47"/>
      <c r="AE6" s="47"/>
      <c r="AF6" s="48" t="s">
        <v>40</v>
      </c>
      <c r="AG6" s="49" t="s">
        <v>39</v>
      </c>
      <c r="AH6" s="49" t="s">
        <v>41</v>
      </c>
      <c r="AJ6" s="148" t="s">
        <v>63</v>
      </c>
      <c r="AK6" s="148" t="s">
        <v>58</v>
      </c>
      <c r="AL6" s="148" t="s">
        <v>59</v>
      </c>
    </row>
    <row r="7" spans="1:38" ht="17.100000000000001" customHeight="1" x14ac:dyDescent="0.25">
      <c r="A7" s="18">
        <f>'LOGEMENTS COLLECTIFS'!B9</f>
        <v>0</v>
      </c>
      <c r="B7" s="4" t="s">
        <v>9</v>
      </c>
      <c r="C7" s="150">
        <f>IF('LOGEMENTS COLLECTIFS'!E2="AICVF",AF10,(IF('LOGEMENTS COLLECTIFS'!E2="Parc social",AG10,AH10)))</f>
        <v>0.4</v>
      </c>
      <c r="D7" s="5">
        <f t="shared" ref="D7:D12" si="0">A7*C7</f>
        <v>0</v>
      </c>
      <c r="E7" s="2"/>
      <c r="F7" s="2"/>
      <c r="G7" s="440" t="s">
        <v>3</v>
      </c>
      <c r="H7" s="440"/>
      <c r="I7" s="13">
        <v>50</v>
      </c>
      <c r="J7" s="57"/>
      <c r="K7" s="57"/>
      <c r="L7" s="57"/>
      <c r="M7" s="55"/>
      <c r="O7" s="12" t="s">
        <v>16</v>
      </c>
      <c r="P7" s="17">
        <f>'LOGEMENTS COLLECTIFS'!O2</f>
        <v>50</v>
      </c>
      <c r="Q7" s="1"/>
      <c r="R7" s="1"/>
      <c r="S7" s="1"/>
      <c r="T7" s="1"/>
      <c r="W7" s="55"/>
      <c r="Y7" s="50">
        <v>100</v>
      </c>
      <c r="Z7" s="51" t="s">
        <v>30</v>
      </c>
      <c r="AA7" s="78"/>
      <c r="AB7" s="50">
        <v>100</v>
      </c>
      <c r="AC7" s="51" t="s">
        <v>30</v>
      </c>
      <c r="AD7" s="47"/>
      <c r="AE7" s="532" t="s">
        <v>6</v>
      </c>
      <c r="AF7" s="532" t="s">
        <v>7</v>
      </c>
      <c r="AG7" s="532" t="s">
        <v>7</v>
      </c>
      <c r="AH7" s="532" t="s">
        <v>7</v>
      </c>
      <c r="AJ7" s="146"/>
      <c r="AK7" s="146"/>
      <c r="AL7" s="146"/>
    </row>
    <row r="8" spans="1:38" ht="17.100000000000001" customHeight="1" x14ac:dyDescent="0.25">
      <c r="A8" s="18">
        <f>'LOGEMENTS COLLECTIFS'!B10</f>
        <v>15</v>
      </c>
      <c r="B8" s="4" t="s">
        <v>10</v>
      </c>
      <c r="C8" s="235">
        <f>IF('LOGEMENTS COLLECTIFS'!E2="AICVF",AF11,(IF('LOGEMENTS COLLECTIFS'!E2="Parc social",AG11,AH11)))</f>
        <v>0.6</v>
      </c>
      <c r="D8" s="5">
        <f t="shared" si="0"/>
        <v>9</v>
      </c>
      <c r="E8" s="2"/>
      <c r="F8" s="2"/>
      <c r="G8" s="2"/>
      <c r="H8" s="2"/>
      <c r="I8" s="2"/>
      <c r="J8" s="2"/>
      <c r="K8" s="2"/>
      <c r="L8" s="2"/>
      <c r="M8" s="55"/>
      <c r="O8" s="1"/>
      <c r="P8" s="1"/>
      <c r="Q8" s="1"/>
      <c r="R8" s="1"/>
      <c r="S8" s="1"/>
      <c r="T8" s="1"/>
      <c r="W8" s="55"/>
      <c r="Y8" s="50">
        <v>200</v>
      </c>
      <c r="Z8" s="51" t="s">
        <v>30</v>
      </c>
      <c r="AA8" s="78"/>
      <c r="AB8" s="50">
        <v>200</v>
      </c>
      <c r="AC8" s="51" t="s">
        <v>30</v>
      </c>
      <c r="AD8" s="47"/>
      <c r="AE8" s="532"/>
      <c r="AF8" s="532"/>
      <c r="AG8" s="532"/>
      <c r="AH8" s="532"/>
    </row>
    <row r="9" spans="1:38" ht="16.5" customHeight="1" x14ac:dyDescent="0.25">
      <c r="A9" s="18">
        <f>'LOGEMENTS COLLECTIFS'!B11</f>
        <v>12</v>
      </c>
      <c r="B9" s="4" t="s">
        <v>11</v>
      </c>
      <c r="C9" s="235">
        <f>IF('LOGEMENTS COLLECTIFS'!E2="AICVF",AF12,(IF('LOGEMENTS COLLECTIFS'!E2="Parc social",AG12,AH12)))</f>
        <v>1</v>
      </c>
      <c r="D9" s="5">
        <f t="shared" si="0"/>
        <v>12</v>
      </c>
      <c r="E9" s="2"/>
      <c r="F9" s="2"/>
      <c r="G9" s="2"/>
      <c r="H9" s="2"/>
      <c r="I9" s="2"/>
      <c r="J9" s="2"/>
      <c r="K9" s="2"/>
      <c r="L9" s="2"/>
      <c r="M9" s="55"/>
      <c r="O9" s="9" t="s">
        <v>24</v>
      </c>
      <c r="P9" s="19">
        <f>(F15*I5)*(I7/P7)</f>
        <v>462.29149314973012</v>
      </c>
      <c r="Q9" s="1"/>
      <c r="R9" s="1"/>
      <c r="S9" s="1"/>
      <c r="T9" s="1"/>
      <c r="W9" s="55"/>
      <c r="Y9" s="50">
        <v>300</v>
      </c>
      <c r="Z9" s="51" t="s">
        <v>31</v>
      </c>
      <c r="AA9" s="78"/>
      <c r="AB9" s="50">
        <v>300</v>
      </c>
      <c r="AC9" s="51" t="s">
        <v>31</v>
      </c>
      <c r="AD9" s="47"/>
      <c r="AE9" s="52"/>
      <c r="AF9" s="52"/>
      <c r="AG9" s="52"/>
      <c r="AH9" s="52"/>
    </row>
    <row r="10" spans="1:38" ht="17.100000000000001" customHeight="1" x14ac:dyDescent="0.25">
      <c r="A10" s="18">
        <f>'LOGEMENTS COLLECTIFS'!B12</f>
        <v>3</v>
      </c>
      <c r="B10" s="4" t="s">
        <v>12</v>
      </c>
      <c r="C10" s="235">
        <f>IF('LOGEMENTS COLLECTIFS'!E2="AICVF",AF13,(IF('LOGEMENTS COLLECTIFS'!E2="Parc social",AG13,AH13)))</f>
        <v>1.2</v>
      </c>
      <c r="D10" s="5">
        <f t="shared" si="0"/>
        <v>3.5999999999999996</v>
      </c>
      <c r="E10" s="2"/>
      <c r="F10" s="2"/>
      <c r="G10" s="2"/>
      <c r="H10" s="2"/>
      <c r="I10" s="2"/>
      <c r="J10" s="2"/>
      <c r="K10" s="2"/>
      <c r="L10" s="2"/>
      <c r="M10" s="55"/>
      <c r="O10" s="14" t="s">
        <v>26</v>
      </c>
      <c r="P10" s="19">
        <f>P9/10</f>
        <v>46.229149314973014</v>
      </c>
      <c r="Q10" s="1"/>
      <c r="R10" s="1"/>
      <c r="S10" s="1"/>
      <c r="T10" s="1"/>
      <c r="W10" s="55"/>
      <c r="Y10" s="50">
        <v>400</v>
      </c>
      <c r="Z10" s="51" t="s">
        <v>32</v>
      </c>
      <c r="AA10" s="78"/>
      <c r="AB10" s="50">
        <v>400</v>
      </c>
      <c r="AC10" s="51" t="s">
        <v>32</v>
      </c>
      <c r="AD10" s="47"/>
      <c r="AE10" s="53" t="s">
        <v>9</v>
      </c>
      <c r="AF10" s="53">
        <v>0.4</v>
      </c>
      <c r="AG10" s="53">
        <v>0.6</v>
      </c>
      <c r="AH10" s="53">
        <v>0.6</v>
      </c>
      <c r="AJ10" s="514" t="s">
        <v>118</v>
      </c>
      <c r="AK10" s="514"/>
    </row>
    <row r="11" spans="1:38" ht="17.100000000000001" customHeight="1" x14ac:dyDescent="0.25">
      <c r="A11" s="18">
        <f>'LOGEMENTS COLLECTIFS'!B13</f>
        <v>0</v>
      </c>
      <c r="B11" s="4" t="s">
        <v>13</v>
      </c>
      <c r="C11" s="235">
        <f>IF('LOGEMENTS COLLECTIFS'!E2="AICVF",AF14,(IF('LOGEMENTS COLLECTIFS'!E2="Parc social",AG14,AH14)))</f>
        <v>1.3</v>
      </c>
      <c r="D11" s="5">
        <f t="shared" si="0"/>
        <v>0</v>
      </c>
      <c r="E11" s="2"/>
      <c r="F11" s="2"/>
      <c r="G11" s="2"/>
      <c r="H11" s="2"/>
      <c r="I11" s="2"/>
      <c r="J11" s="2"/>
      <c r="K11" s="2"/>
      <c r="L11" s="2"/>
      <c r="M11" s="55"/>
      <c r="O11" s="14" t="s">
        <v>25</v>
      </c>
      <c r="P11" s="19">
        <f>(P9/I5)*I6</f>
        <v>1109.4995835593522</v>
      </c>
      <c r="Q11" s="1"/>
      <c r="R11" s="1"/>
      <c r="S11" s="1"/>
      <c r="T11" s="1"/>
      <c r="W11" s="55"/>
      <c r="Y11" s="50">
        <v>500</v>
      </c>
      <c r="Z11" s="51" t="s">
        <v>32</v>
      </c>
      <c r="AA11" s="78"/>
      <c r="AB11" s="50">
        <v>500</v>
      </c>
      <c r="AC11" s="51" t="s">
        <v>32</v>
      </c>
      <c r="AD11" s="47"/>
      <c r="AE11" s="53" t="s">
        <v>10</v>
      </c>
      <c r="AF11" s="53">
        <v>0.6</v>
      </c>
      <c r="AG11" s="53">
        <v>0.7</v>
      </c>
      <c r="AH11" s="53">
        <v>0.7</v>
      </c>
      <c r="AJ11" s="197" t="s">
        <v>119</v>
      </c>
      <c r="AK11" s="196" t="s">
        <v>161</v>
      </c>
    </row>
    <row r="12" spans="1:38" ht="27" customHeight="1" x14ac:dyDescent="0.25">
      <c r="A12" s="18">
        <f>'LOGEMENTS COLLECTIFS'!B14</f>
        <v>0</v>
      </c>
      <c r="B12" s="4" t="s">
        <v>14</v>
      </c>
      <c r="C12" s="235">
        <f>IF('LOGEMENTS COLLECTIFS'!E2="AICVF",AF15,(IF('LOGEMENTS COLLECTIFS'!E2="Parc social",AG15,AH15)))</f>
        <v>1.5</v>
      </c>
      <c r="D12" s="5">
        <f t="shared" si="0"/>
        <v>0</v>
      </c>
      <c r="E12" s="2"/>
      <c r="F12" s="2"/>
      <c r="G12" s="2"/>
      <c r="H12" s="267" t="s">
        <v>160</v>
      </c>
      <c r="I12" s="268">
        <f>A13*2.3</f>
        <v>69</v>
      </c>
      <c r="J12" s="2"/>
      <c r="K12" s="2"/>
      <c r="L12" s="2"/>
      <c r="M12" s="55"/>
      <c r="O12" s="27"/>
      <c r="P12" s="26"/>
      <c r="Q12" s="1"/>
      <c r="R12" s="1"/>
      <c r="S12" s="1"/>
      <c r="T12" s="1"/>
      <c r="W12" s="55"/>
      <c r="Y12" s="50">
        <v>600</v>
      </c>
      <c r="Z12" s="51" t="s">
        <v>32</v>
      </c>
      <c r="AA12" s="78"/>
      <c r="AB12" s="50">
        <v>600</v>
      </c>
      <c r="AC12" s="51" t="s">
        <v>32</v>
      </c>
      <c r="AD12" s="47"/>
      <c r="AE12" s="53" t="s">
        <v>11</v>
      </c>
      <c r="AF12" s="53">
        <v>1</v>
      </c>
      <c r="AG12" s="53">
        <v>1</v>
      </c>
      <c r="AH12" s="53">
        <v>0.9</v>
      </c>
    </row>
    <row r="13" spans="1:38" ht="30" customHeight="1" x14ac:dyDescent="0.25">
      <c r="A13" s="23">
        <f>SUM(A7:A12)</f>
        <v>30</v>
      </c>
      <c r="B13" s="2"/>
      <c r="C13" s="2"/>
      <c r="D13" s="2"/>
      <c r="E13" s="2"/>
      <c r="F13" s="2"/>
      <c r="G13" s="2"/>
      <c r="H13" s="267" t="s">
        <v>159</v>
      </c>
      <c r="I13" s="268">
        <f>B15*2.3</f>
        <v>56.58</v>
      </c>
      <c r="J13" s="2"/>
      <c r="K13" s="2"/>
      <c r="L13" s="2"/>
      <c r="M13" s="55"/>
      <c r="O13" s="16" t="s">
        <v>20</v>
      </c>
      <c r="P13" s="19">
        <f>2*P11</f>
        <v>2218.9991671187045</v>
      </c>
      <c r="Q13" s="1"/>
      <c r="R13" s="1"/>
      <c r="S13" s="1"/>
      <c r="T13" s="1"/>
      <c r="W13" s="55"/>
      <c r="Y13" s="50">
        <v>700</v>
      </c>
      <c r="Z13" s="51" t="s">
        <v>33</v>
      </c>
      <c r="AA13" s="78"/>
      <c r="AB13" s="50">
        <v>700</v>
      </c>
      <c r="AC13" s="51" t="s">
        <v>33</v>
      </c>
      <c r="AD13" s="47"/>
      <c r="AE13" s="53" t="s">
        <v>12</v>
      </c>
      <c r="AF13" s="53">
        <v>1.2</v>
      </c>
      <c r="AG13" s="53">
        <v>1.4</v>
      </c>
      <c r="AH13" s="53">
        <v>1.1000000000000001</v>
      </c>
      <c r="AJ13" s="526" t="s">
        <v>118</v>
      </c>
      <c r="AK13" s="526"/>
    </row>
    <row r="14" spans="1:38" ht="17.100000000000001" customHeight="1" x14ac:dyDescent="0.25">
      <c r="A14" s="2"/>
      <c r="B14" s="2"/>
      <c r="C14" s="2"/>
      <c r="D14" s="2"/>
      <c r="E14" s="2"/>
      <c r="F14" s="2"/>
      <c r="G14" s="2"/>
      <c r="H14" s="2"/>
      <c r="I14" s="2"/>
      <c r="J14" s="2"/>
      <c r="K14" s="2"/>
      <c r="L14" s="2"/>
      <c r="M14" s="55"/>
      <c r="O14" s="1"/>
      <c r="P14" s="1"/>
      <c r="Q14" s="1"/>
      <c r="R14" s="1"/>
      <c r="S14" s="1"/>
      <c r="T14" s="1"/>
      <c r="W14" s="55"/>
      <c r="Y14" s="50">
        <v>800</v>
      </c>
      <c r="Z14" s="51" t="s">
        <v>33</v>
      </c>
      <c r="AA14" s="78"/>
      <c r="AB14" s="50">
        <v>800</v>
      </c>
      <c r="AC14" s="51" t="s">
        <v>33</v>
      </c>
      <c r="AD14" s="47"/>
      <c r="AE14" s="53" t="s">
        <v>13</v>
      </c>
      <c r="AF14" s="53">
        <v>1.3</v>
      </c>
      <c r="AG14" s="53">
        <v>1.8</v>
      </c>
      <c r="AH14" s="53">
        <v>1.3</v>
      </c>
      <c r="AJ14" s="527" t="s">
        <v>161</v>
      </c>
      <c r="AK14" s="513"/>
    </row>
    <row r="15" spans="1:38" ht="38.25" x14ac:dyDescent="0.25">
      <c r="A15" s="5" t="s">
        <v>15</v>
      </c>
      <c r="B15" s="6">
        <f>D7+D8+D9+D10+D11+D12</f>
        <v>24.6</v>
      </c>
      <c r="C15" s="2"/>
      <c r="D15" s="2"/>
      <c r="E15" s="3" t="s">
        <v>158</v>
      </c>
      <c r="F15" s="10">
        <f>B15*B16</f>
        <v>9.2458298629946025</v>
      </c>
      <c r="G15" s="2"/>
      <c r="H15" s="2"/>
      <c r="I15" s="2"/>
      <c r="J15" s="2"/>
      <c r="K15" s="2"/>
      <c r="L15" s="2"/>
      <c r="M15" s="55"/>
      <c r="O15" s="16" t="s">
        <v>21</v>
      </c>
      <c r="P15" s="22">
        <f>'LOGEMENTS COLLECTIFS'!H23</f>
        <v>500</v>
      </c>
      <c r="Q15" s="1"/>
      <c r="R15" s="1"/>
      <c r="S15" s="94" t="s">
        <v>65</v>
      </c>
      <c r="T15" s="512">
        <f>IF(P15&gt;P11,"ERREUR - Volume Tampon trop important",((P13-P15)*50)/860)</f>
        <v>99.941812041785141</v>
      </c>
      <c r="U15" s="513"/>
      <c r="W15" s="55"/>
      <c r="Y15" s="50">
        <v>900</v>
      </c>
      <c r="Z15" s="51" t="s">
        <v>34</v>
      </c>
      <c r="AA15" s="78"/>
      <c r="AB15" s="50">
        <v>900</v>
      </c>
      <c r="AC15" s="51" t="s">
        <v>34</v>
      </c>
      <c r="AD15" s="47"/>
      <c r="AE15" s="53" t="s">
        <v>14</v>
      </c>
      <c r="AF15" s="53">
        <v>1.5</v>
      </c>
      <c r="AG15" s="53">
        <v>1.9</v>
      </c>
      <c r="AH15" s="53">
        <v>1.4</v>
      </c>
    </row>
    <row r="16" spans="1:38" x14ac:dyDescent="0.25">
      <c r="A16" s="5" t="s">
        <v>0</v>
      </c>
      <c r="B16" s="6">
        <f>0.17+(1/(SQRT(B15-1)))</f>
        <v>0.37584674239815458</v>
      </c>
      <c r="C16" s="2"/>
      <c r="D16" s="2"/>
      <c r="E16" s="2"/>
      <c r="F16" s="2"/>
      <c r="G16" s="2"/>
      <c r="H16" s="2"/>
      <c r="I16" s="2"/>
      <c r="J16" s="2"/>
      <c r="K16" s="2"/>
      <c r="L16" s="2"/>
      <c r="M16" s="55"/>
      <c r="W16" s="55"/>
      <c r="Y16" s="50">
        <v>1000</v>
      </c>
      <c r="Z16" s="51" t="s">
        <v>34</v>
      </c>
      <c r="AA16" s="78"/>
      <c r="AB16" s="50">
        <v>1000</v>
      </c>
      <c r="AC16" s="51" t="s">
        <v>34</v>
      </c>
      <c r="AD16" s="47"/>
      <c r="AE16" s="47"/>
      <c r="AF16" s="47"/>
      <c r="AG16" s="47"/>
      <c r="AH16" s="47"/>
    </row>
    <row r="17" spans="1:34" ht="15" customHeight="1" x14ac:dyDescent="0.25">
      <c r="A17" s="2"/>
      <c r="B17" s="2"/>
      <c r="C17" s="2"/>
      <c r="D17" s="2"/>
      <c r="E17" s="2"/>
      <c r="F17" s="2"/>
      <c r="G17" s="2"/>
      <c r="H17" s="2"/>
      <c r="I17" s="2"/>
      <c r="J17" s="2"/>
      <c r="K17" s="2"/>
      <c r="L17" s="2"/>
      <c r="M17" s="55"/>
      <c r="W17" s="55"/>
      <c r="Y17" s="50">
        <v>1100</v>
      </c>
      <c r="Z17" s="51" t="s">
        <v>34</v>
      </c>
      <c r="AA17" s="78"/>
      <c r="AB17" s="50">
        <v>1100</v>
      </c>
      <c r="AC17" s="51" t="s">
        <v>34</v>
      </c>
      <c r="AD17" s="47"/>
      <c r="AE17" s="47"/>
      <c r="AF17" s="47"/>
      <c r="AG17" s="47"/>
      <c r="AH17" s="47"/>
    </row>
    <row r="18" spans="1:34" ht="40.5" customHeight="1" x14ac:dyDescent="0.25">
      <c r="A18" s="9" t="s">
        <v>18</v>
      </c>
      <c r="B18" s="19">
        <f>F15*I5</f>
        <v>462.29149314973012</v>
      </c>
      <c r="C18" s="2"/>
      <c r="D18" s="2"/>
      <c r="E18" s="206" t="s">
        <v>121</v>
      </c>
      <c r="F18" s="207">
        <f>(61*(I12^0.503))*1.1</f>
        <v>564.49956657725897</v>
      </c>
      <c r="G18" s="208">
        <f>(F18*51)/50</f>
        <v>575.78955790880411</v>
      </c>
      <c r="H18" s="209"/>
      <c r="I18" s="210" t="s">
        <v>2</v>
      </c>
      <c r="J18" s="517">
        <f>(F20*60*I7)*(4.2/3600)</f>
        <v>201.52634526808149</v>
      </c>
      <c r="K18" s="518"/>
      <c r="L18" s="2"/>
      <c r="M18" s="55"/>
      <c r="W18" s="55"/>
      <c r="Y18" s="50">
        <v>1200</v>
      </c>
      <c r="Z18" s="51" t="s">
        <v>35</v>
      </c>
      <c r="AA18" s="78"/>
      <c r="AB18" s="50">
        <v>1200</v>
      </c>
      <c r="AC18" s="51" t="s">
        <v>35</v>
      </c>
      <c r="AD18" s="47"/>
      <c r="AE18" s="47"/>
      <c r="AF18" s="47"/>
      <c r="AG18" s="47"/>
      <c r="AH18" s="47"/>
    </row>
    <row r="19" spans="1:34" ht="39" customHeight="1" x14ac:dyDescent="0.25">
      <c r="A19" s="9" t="s">
        <v>154</v>
      </c>
      <c r="B19" s="19">
        <f>(B18/I5)*I6</f>
        <v>1109.4995835593522</v>
      </c>
      <c r="C19" s="2"/>
      <c r="D19" s="2"/>
      <c r="E19" s="206" t="s">
        <v>155</v>
      </c>
      <c r="F19" s="207">
        <f>(83*(I13^0.708))*1.1</f>
        <v>1589.8499635891462</v>
      </c>
      <c r="G19" s="208">
        <f>(F19*51)/50</f>
        <v>1621.6469628609293</v>
      </c>
      <c r="H19" s="209"/>
      <c r="I19" s="211" t="s">
        <v>52</v>
      </c>
      <c r="J19" s="519">
        <f>(G19*F24)/860</f>
        <v>94.281800166333099</v>
      </c>
      <c r="K19" s="520"/>
      <c r="L19" s="2"/>
      <c r="M19" s="55"/>
      <c r="W19" s="55"/>
      <c r="Y19" s="50">
        <v>1300</v>
      </c>
      <c r="Z19" s="51" t="s">
        <v>35</v>
      </c>
      <c r="AA19" s="78"/>
      <c r="AB19" s="50">
        <v>1300</v>
      </c>
      <c r="AC19" s="51" t="s">
        <v>35</v>
      </c>
      <c r="AD19" s="47"/>
      <c r="AE19" s="47"/>
      <c r="AF19" s="47"/>
      <c r="AG19" s="47"/>
      <c r="AH19" s="47"/>
    </row>
    <row r="20" spans="1:34" ht="39" customHeight="1" x14ac:dyDescent="0.25">
      <c r="A20" s="9" t="s">
        <v>4</v>
      </c>
      <c r="B20" s="19">
        <f>B18/10</f>
        <v>46.229149314973014</v>
      </c>
      <c r="C20" s="2"/>
      <c r="D20" s="2"/>
      <c r="E20" s="206" t="s">
        <v>4</v>
      </c>
      <c r="F20" s="515">
        <f>G18/10</f>
        <v>57.578955790880414</v>
      </c>
      <c r="G20" s="516"/>
      <c r="H20" s="209"/>
      <c r="I20" s="212"/>
      <c r="J20" s="213"/>
      <c r="K20" s="209"/>
      <c r="L20" s="2"/>
      <c r="M20" s="55"/>
      <c r="O20" s="93" t="s">
        <v>49</v>
      </c>
      <c r="P20" s="95">
        <f>T15/1.16/40</f>
        <v>2.1539183629695073</v>
      </c>
      <c r="W20" s="55"/>
      <c r="Y20" s="50">
        <v>1400</v>
      </c>
      <c r="Z20" s="51" t="s">
        <v>35</v>
      </c>
      <c r="AA20" s="78"/>
      <c r="AB20" s="50">
        <v>1400</v>
      </c>
      <c r="AC20" s="51" t="s">
        <v>35</v>
      </c>
      <c r="AD20" s="47"/>
      <c r="AE20" s="47"/>
      <c r="AF20" s="47"/>
      <c r="AG20" s="47"/>
      <c r="AH20" s="47"/>
    </row>
    <row r="21" spans="1:34" ht="39" customHeight="1" x14ac:dyDescent="0.25">
      <c r="A21" s="25"/>
      <c r="B21" s="26"/>
      <c r="C21" s="2"/>
      <c r="D21" s="2"/>
      <c r="E21" s="214"/>
      <c r="F21" s="215"/>
      <c r="G21" s="216"/>
      <c r="H21" s="209"/>
      <c r="I21" s="212"/>
      <c r="J21" s="213"/>
      <c r="K21" s="209"/>
      <c r="L21" s="2"/>
      <c r="M21" s="55"/>
      <c r="O21" s="59"/>
      <c r="P21" s="205"/>
      <c r="W21" s="55"/>
      <c r="Y21" s="50"/>
      <c r="Z21" s="51"/>
      <c r="AA21" s="78"/>
      <c r="AB21" s="50"/>
      <c r="AC21" s="51"/>
      <c r="AD21" s="47"/>
      <c r="AE21" s="47"/>
      <c r="AF21" s="47"/>
      <c r="AG21" s="47"/>
      <c r="AH21" s="47"/>
    </row>
    <row r="22" spans="1:34" ht="39" customHeight="1" x14ac:dyDescent="0.25">
      <c r="A22" s="25"/>
      <c r="B22" s="26"/>
      <c r="C22" s="2"/>
      <c r="D22" s="2"/>
      <c r="E22" s="217" t="s">
        <v>69</v>
      </c>
      <c r="F22" s="207">
        <f>G18</f>
        <v>575.78955790880411</v>
      </c>
      <c r="G22" s="218">
        <f>ROUNDDOWN(F22, -2)</f>
        <v>500</v>
      </c>
      <c r="H22" s="209"/>
      <c r="I22" s="217" t="s">
        <v>70</v>
      </c>
      <c r="J22" s="207">
        <f>(J18-J19)/((4.2/3600)*(60*'LOGEMENTS COLLECTIFS'!O2))*10</f>
        <v>306.41298600499533</v>
      </c>
      <c r="K22" s="218">
        <f>ROUNDDOWN(J22, -2)</f>
        <v>300</v>
      </c>
      <c r="L22" s="2"/>
      <c r="M22" s="55"/>
      <c r="O22" s="59"/>
      <c r="P22" s="205"/>
      <c r="W22" s="55"/>
      <c r="Y22" s="50"/>
      <c r="Z22" s="51"/>
      <c r="AA22" s="78"/>
      <c r="AB22" s="50"/>
      <c r="AC22" s="51"/>
      <c r="AD22" s="47"/>
      <c r="AE22" s="47"/>
      <c r="AF22" s="47"/>
      <c r="AG22" s="47"/>
      <c r="AH22" s="47"/>
    </row>
    <row r="23" spans="1:34" ht="39" customHeight="1" x14ac:dyDescent="0.25">
      <c r="A23" s="25"/>
      <c r="B23" s="26"/>
      <c r="C23" s="2"/>
      <c r="D23" s="2"/>
      <c r="E23" s="20"/>
      <c r="F23" s="21"/>
      <c r="G23" s="2"/>
      <c r="H23" s="2"/>
      <c r="I23" s="59"/>
      <c r="J23" s="204"/>
      <c r="K23" s="2"/>
      <c r="L23" s="2"/>
      <c r="M23" s="55"/>
      <c r="O23" s="59"/>
      <c r="P23" s="205"/>
      <c r="W23" s="55"/>
      <c r="Y23" s="50"/>
      <c r="Z23" s="51"/>
      <c r="AA23" s="78"/>
      <c r="AB23" s="50"/>
      <c r="AC23" s="51"/>
      <c r="AD23" s="47"/>
      <c r="AE23" s="47"/>
      <c r="AF23" s="47"/>
      <c r="AG23" s="47"/>
      <c r="AH23" s="47"/>
    </row>
    <row r="24" spans="1:34" ht="25.5" customHeight="1" x14ac:dyDescent="0.25">
      <c r="A24" s="7"/>
      <c r="B24" s="8"/>
      <c r="C24" s="2"/>
      <c r="D24" s="2"/>
      <c r="E24" s="12" t="s">
        <v>16</v>
      </c>
      <c r="F24" s="533">
        <f>P7</f>
        <v>50</v>
      </c>
      <c r="G24" s="534"/>
      <c r="H24" s="535"/>
      <c r="I24" s="2"/>
      <c r="J24" s="2"/>
      <c r="K24" s="2"/>
      <c r="L24" s="2"/>
      <c r="M24" s="55"/>
      <c r="O24" s="76"/>
      <c r="P24" s="76"/>
      <c r="W24" s="55"/>
      <c r="Y24" s="50">
        <v>1500</v>
      </c>
      <c r="Z24" s="51" t="s">
        <v>35</v>
      </c>
      <c r="AA24" s="78"/>
      <c r="AB24" s="50">
        <v>1500</v>
      </c>
      <c r="AC24" s="51" t="s">
        <v>35</v>
      </c>
      <c r="AD24" s="47"/>
      <c r="AE24" s="47"/>
      <c r="AF24" s="47"/>
      <c r="AG24" s="47"/>
      <c r="AH24" s="47"/>
    </row>
    <row r="25" spans="1:34" ht="26.25" x14ac:dyDescent="0.25">
      <c r="A25" s="70" t="s">
        <v>2</v>
      </c>
      <c r="B25" s="71">
        <f>(B20*60*I7)*(4.2/3600)</f>
        <v>161.80202260240557</v>
      </c>
      <c r="C25" s="151"/>
      <c r="E25" s="12" t="s">
        <v>17</v>
      </c>
      <c r="F25" s="15">
        <f>B18*I5/F24</f>
        <v>462.29149314973006</v>
      </c>
      <c r="G25" s="11" t="s">
        <v>2</v>
      </c>
      <c r="H25" s="10">
        <f>(B25*F24)/I7</f>
        <v>161.80202260240557</v>
      </c>
      <c r="M25" s="55"/>
      <c r="W25" s="55"/>
      <c r="Y25" s="50">
        <v>1600</v>
      </c>
      <c r="Z25" s="51" t="s">
        <v>35</v>
      </c>
      <c r="AA25" s="78"/>
      <c r="AB25" s="50">
        <v>1600</v>
      </c>
      <c r="AC25" s="51" t="s">
        <v>35</v>
      </c>
      <c r="AD25" s="47"/>
      <c r="AE25" s="47"/>
      <c r="AF25" s="47"/>
      <c r="AG25" s="47"/>
      <c r="AH25" s="47"/>
    </row>
    <row r="26" spans="1:34" x14ac:dyDescent="0.25">
      <c r="M26" s="55"/>
      <c r="W26" s="55"/>
      <c r="Y26" s="50">
        <v>1700</v>
      </c>
      <c r="Z26" s="51" t="s">
        <v>35</v>
      </c>
      <c r="AA26" s="78"/>
      <c r="AB26" s="50">
        <v>1700</v>
      </c>
      <c r="AC26" s="51" t="s">
        <v>35</v>
      </c>
      <c r="AD26" s="47"/>
      <c r="AE26" s="47"/>
      <c r="AF26" s="47"/>
      <c r="AG26" s="47"/>
      <c r="AH26" s="47"/>
    </row>
    <row r="27" spans="1:34" ht="39" x14ac:dyDescent="0.25">
      <c r="A27" s="68" t="s">
        <v>52</v>
      </c>
      <c r="B27" s="69">
        <f>(B19*F24)/860</f>
        <v>64.505789741822795</v>
      </c>
      <c r="C27" s="149"/>
      <c r="D27" s="24"/>
      <c r="E27" s="24"/>
      <c r="F27" s="24"/>
      <c r="G27" s="24"/>
      <c r="H27" s="24"/>
      <c r="I27" s="24"/>
      <c r="J27" s="24"/>
      <c r="K27" s="24"/>
      <c r="L27" s="24"/>
      <c r="M27" s="55"/>
      <c r="W27" s="55"/>
      <c r="Y27" s="50">
        <v>1800</v>
      </c>
      <c r="Z27" s="51" t="s">
        <v>35</v>
      </c>
      <c r="AA27" s="78"/>
      <c r="AB27" s="50">
        <v>1800</v>
      </c>
      <c r="AC27" s="51" t="s">
        <v>36</v>
      </c>
      <c r="AD27" s="47"/>
      <c r="AE27" s="47"/>
      <c r="AF27" s="47"/>
      <c r="AG27" s="47"/>
      <c r="AH27" s="47"/>
    </row>
    <row r="28" spans="1:34" x14ac:dyDescent="0.25">
      <c r="A28" s="24"/>
      <c r="B28" s="24"/>
      <c r="C28" s="24"/>
      <c r="D28" s="24"/>
      <c r="E28" s="24"/>
      <c r="F28" s="24"/>
      <c r="G28" s="24"/>
      <c r="H28" s="24"/>
      <c r="I28" s="24"/>
      <c r="J28" s="24"/>
      <c r="K28" s="24"/>
      <c r="L28" s="24"/>
      <c r="M28" s="55"/>
      <c r="W28" s="55"/>
      <c r="Y28" s="50">
        <v>1900</v>
      </c>
      <c r="Z28" s="51" t="s">
        <v>36</v>
      </c>
      <c r="AA28" s="78"/>
      <c r="AB28" s="50">
        <v>1900</v>
      </c>
      <c r="AC28" s="51" t="s">
        <v>36</v>
      </c>
      <c r="AD28" s="47"/>
      <c r="AE28" s="47"/>
      <c r="AF28" s="47"/>
      <c r="AG28" s="47"/>
      <c r="AH28" s="47"/>
    </row>
    <row r="29" spans="1:34" x14ac:dyDescent="0.25">
      <c r="A29" s="530"/>
      <c r="B29" s="531"/>
      <c r="C29" s="531"/>
      <c r="D29" s="24"/>
      <c r="E29" s="24"/>
      <c r="F29" s="24"/>
      <c r="G29" s="24"/>
      <c r="H29" s="24"/>
      <c r="I29" s="24"/>
      <c r="J29" s="24"/>
      <c r="K29" s="24"/>
      <c r="L29" s="24"/>
      <c r="M29" s="55"/>
      <c r="W29" s="55"/>
      <c r="Y29" s="50">
        <v>2000</v>
      </c>
      <c r="Z29" s="51" t="s">
        <v>36</v>
      </c>
      <c r="AA29" s="78"/>
      <c r="AB29" s="50">
        <v>2000</v>
      </c>
      <c r="AC29" s="51" t="s">
        <v>36</v>
      </c>
      <c r="AD29" s="47"/>
      <c r="AE29" s="47"/>
      <c r="AF29" s="47"/>
      <c r="AG29" s="47"/>
      <c r="AH29" s="47"/>
    </row>
    <row r="30" spans="1:34" ht="51.75" x14ac:dyDescent="0.25">
      <c r="A30" s="11" t="s">
        <v>69</v>
      </c>
      <c r="B30" s="19">
        <f>P9</f>
        <v>462.29149314973012</v>
      </c>
      <c r="C30" s="31">
        <f>ROUNDDOWN(B30, -2)</f>
        <v>400</v>
      </c>
      <c r="D30" s="24"/>
      <c r="E30" s="11" t="s">
        <v>70</v>
      </c>
      <c r="F30" s="19">
        <f>((B25-B27)/((4.2/3600)*(60*'LOGEMENTS COLLECTIFS'!O2)))*10</f>
        <v>277.9892367445222</v>
      </c>
      <c r="G30" s="31">
        <f>ROUNDDOWN(F30, -2)</f>
        <v>200</v>
      </c>
      <c r="H30" s="24"/>
      <c r="I30" s="24"/>
      <c r="J30" s="24"/>
      <c r="K30" s="24"/>
      <c r="L30" s="24"/>
      <c r="M30" s="55"/>
      <c r="W30" s="55"/>
      <c r="Y30" s="50">
        <v>2100</v>
      </c>
      <c r="Z30" s="51" t="s">
        <v>36</v>
      </c>
      <c r="AA30" s="78"/>
      <c r="AB30" s="67"/>
      <c r="AC30" s="67"/>
      <c r="AD30" s="47"/>
      <c r="AE30" s="47"/>
      <c r="AF30" s="47"/>
      <c r="AG30" s="47"/>
      <c r="AH30" s="47"/>
    </row>
    <row r="31" spans="1:34" x14ac:dyDescent="0.25">
      <c r="A31" s="59"/>
      <c r="B31" s="26"/>
      <c r="C31" s="28"/>
      <c r="D31" s="24"/>
      <c r="E31" s="24"/>
      <c r="F31" s="24"/>
      <c r="G31" s="24"/>
      <c r="H31" s="24"/>
      <c r="I31" s="24"/>
      <c r="J31" s="24"/>
      <c r="K31" s="24"/>
      <c r="L31" s="24"/>
      <c r="M31" s="55"/>
      <c r="W31" s="55"/>
      <c r="Y31" s="50">
        <v>2200</v>
      </c>
      <c r="Z31" s="51" t="s">
        <v>36</v>
      </c>
      <c r="AA31" s="78"/>
      <c r="AB31" s="67"/>
      <c r="AC31" s="67"/>
      <c r="AD31" s="47"/>
      <c r="AE31" s="47"/>
      <c r="AF31" s="47"/>
      <c r="AG31" s="47"/>
      <c r="AH31" s="47"/>
    </row>
    <row r="32" spans="1:34" x14ac:dyDescent="0.25">
      <c r="A32" s="59"/>
      <c r="B32" s="26"/>
      <c r="C32" s="28"/>
      <c r="D32" s="24"/>
      <c r="E32" s="24"/>
      <c r="F32" s="24"/>
      <c r="G32" s="24"/>
      <c r="H32" s="24"/>
      <c r="I32" s="24"/>
      <c r="J32" s="24"/>
      <c r="K32" s="24"/>
      <c r="L32" s="24"/>
      <c r="M32" s="55"/>
      <c r="W32" s="55"/>
      <c r="Y32" s="50">
        <v>2300</v>
      </c>
      <c r="Z32" s="51" t="s">
        <v>36</v>
      </c>
      <c r="AA32" s="78"/>
      <c r="AB32" s="67"/>
      <c r="AC32" s="67"/>
      <c r="AD32" s="47"/>
      <c r="AE32" s="47"/>
      <c r="AF32" s="47"/>
      <c r="AG32" s="47"/>
      <c r="AH32" s="47"/>
    </row>
    <row r="33" spans="1:34" x14ac:dyDescent="0.25">
      <c r="A33" s="60"/>
      <c r="B33" s="61"/>
      <c r="C33" s="62"/>
      <c r="D33" s="58"/>
      <c r="E33" s="58"/>
      <c r="F33" s="58"/>
      <c r="G33" s="58"/>
      <c r="H33" s="58"/>
      <c r="I33" s="58"/>
      <c r="J33" s="58"/>
      <c r="K33" s="58"/>
      <c r="L33" s="58"/>
      <c r="M33" s="55"/>
      <c r="W33" s="55"/>
      <c r="Y33" s="50">
        <v>2400</v>
      </c>
      <c r="Z33" s="51" t="s">
        <v>37</v>
      </c>
      <c r="AA33" s="78"/>
      <c r="AB33" s="67"/>
      <c r="AC33" s="67"/>
      <c r="AD33" s="47"/>
      <c r="AE33" s="47"/>
      <c r="AF33" s="47"/>
      <c r="AG33" s="47"/>
      <c r="AH33" s="47"/>
    </row>
    <row r="34" spans="1:34" x14ac:dyDescent="0.25">
      <c r="A34" s="59"/>
      <c r="B34" s="63"/>
      <c r="C34" s="64"/>
      <c r="D34" s="65"/>
      <c r="E34" s="65"/>
      <c r="F34" s="65"/>
      <c r="G34" s="65"/>
      <c r="H34" s="65"/>
      <c r="I34" s="65"/>
      <c r="J34" s="65"/>
      <c r="K34" s="65"/>
      <c r="L34" s="65"/>
      <c r="M34" s="55"/>
      <c r="W34" s="55"/>
      <c r="Y34" s="50">
        <v>2500</v>
      </c>
      <c r="Z34" s="51" t="s">
        <v>37</v>
      </c>
      <c r="AA34" s="78"/>
      <c r="AB34" s="67"/>
      <c r="AC34" s="67"/>
      <c r="AD34" s="47"/>
      <c r="AE34" s="47"/>
      <c r="AF34" s="47"/>
      <c r="AG34" s="47"/>
      <c r="AH34" s="47"/>
    </row>
    <row r="35" spans="1:34" x14ac:dyDescent="0.25">
      <c r="A35" s="59"/>
      <c r="B35" s="63"/>
      <c r="C35" s="64"/>
      <c r="D35" s="65"/>
      <c r="E35" s="65"/>
      <c r="F35" s="65"/>
      <c r="G35" s="65"/>
      <c r="H35" s="65"/>
      <c r="I35" s="65"/>
      <c r="J35" s="65"/>
      <c r="K35" s="65"/>
      <c r="L35" s="65"/>
      <c r="M35" s="55"/>
      <c r="O35" s="510" t="s">
        <v>126</v>
      </c>
      <c r="P35" s="511"/>
      <c r="Q35" s="511"/>
      <c r="R35" s="1"/>
      <c r="S35" s="1"/>
      <c r="T35" s="1"/>
      <c r="W35" s="55"/>
      <c r="Y35" s="50">
        <v>2600</v>
      </c>
      <c r="Z35" s="51" t="s">
        <v>37</v>
      </c>
      <c r="AA35" s="78"/>
      <c r="AB35" s="67"/>
      <c r="AC35" s="67"/>
      <c r="AD35" s="47"/>
      <c r="AE35" s="47"/>
      <c r="AF35" s="47"/>
      <c r="AG35" s="47"/>
      <c r="AH35" s="47"/>
    </row>
    <row r="36" spans="1:34" x14ac:dyDescent="0.25">
      <c r="A36" s="521" t="s">
        <v>122</v>
      </c>
      <c r="B36" s="522"/>
      <c r="C36" s="64"/>
      <c r="D36" s="65"/>
      <c r="E36" s="65"/>
      <c r="F36" s="65"/>
      <c r="G36" s="65"/>
      <c r="H36" s="521" t="s">
        <v>123</v>
      </c>
      <c r="I36" s="522"/>
      <c r="J36" s="65"/>
      <c r="K36" s="65"/>
      <c r="L36" s="65"/>
      <c r="M36" s="55"/>
      <c r="O36" s="20"/>
      <c r="P36" s="21"/>
      <c r="Q36" s="1"/>
      <c r="R36" s="1"/>
      <c r="S36" s="1"/>
      <c r="T36" s="1"/>
      <c r="W36" s="55"/>
      <c r="Y36" s="50">
        <v>2700</v>
      </c>
      <c r="Z36" s="51" t="s">
        <v>37</v>
      </c>
      <c r="AA36" s="78"/>
      <c r="AB36" s="67"/>
      <c r="AC36" s="67"/>
      <c r="AD36" s="47"/>
      <c r="AE36" s="47"/>
      <c r="AF36" s="47"/>
      <c r="AG36" s="47"/>
      <c r="AH36" s="47"/>
    </row>
    <row r="37" spans="1:34" x14ac:dyDescent="0.25">
      <c r="A37" s="24"/>
      <c r="B37" s="24"/>
      <c r="C37" s="24"/>
      <c r="D37" s="24"/>
      <c r="E37" s="24"/>
      <c r="F37" s="24"/>
      <c r="G37" s="24"/>
      <c r="H37" s="24"/>
      <c r="I37" s="24"/>
      <c r="J37" s="24"/>
      <c r="K37" s="24"/>
      <c r="L37" s="24"/>
      <c r="M37" s="55"/>
      <c r="O37" s="1"/>
      <c r="P37" s="1"/>
      <c r="Q37" s="1"/>
      <c r="R37" s="1"/>
      <c r="S37" s="1"/>
      <c r="T37" s="1"/>
      <c r="W37" s="55"/>
      <c r="Y37" s="50">
        <v>2800</v>
      </c>
      <c r="Z37" s="51" t="s">
        <v>37</v>
      </c>
      <c r="AA37" s="78"/>
      <c r="AB37" s="67"/>
      <c r="AC37" s="67"/>
      <c r="AD37" s="47"/>
      <c r="AE37" s="47"/>
      <c r="AF37" s="47"/>
      <c r="AG37" s="47"/>
      <c r="AH37" s="47"/>
    </row>
    <row r="38" spans="1:34" ht="33" customHeight="1" x14ac:dyDescent="0.25">
      <c r="A38" s="20" t="s">
        <v>27</v>
      </c>
      <c r="B38" s="32" t="str">
        <f>IF(B25&lt;96,"F-GSWT(100)",IF(B25&lt;194,"F-GSWT (200)",IF(B25&lt;304,"F-GSWT (300)",IF(B25&lt;372,"F-GSWT (375)",IF(B25&lt;499,"F-GSWT (500)",IF(B25&lt;599,"F-GSWT (600)",IF(B25&lt;699,"F-GSWT (700)",IF(B25&lt;848,"F-GSWT (850)","PAS DE MODELE"))))))))</f>
        <v>F-GSWT (200)</v>
      </c>
      <c r="C38" s="24"/>
      <c r="D38" s="24"/>
      <c r="E38" s="24"/>
      <c r="F38" s="24"/>
      <c r="G38" s="24"/>
      <c r="H38" s="20" t="s">
        <v>27</v>
      </c>
      <c r="I38" s="32" t="str">
        <f>IF(J18&lt;96,"F-GSWT(100)",IF(J18&lt;194,"F-GSWT (200)",IF(J18&lt;304,"F-GSWT (300)",IF(J18&lt;372,"F-GSWT (375)",IF(J18&lt;499,"F-GSWT (500)",IF(J18&lt;599,"F-GSWT (600)",IF(J18&lt;699,"F-GSWT (700)",IF(J18&lt;848,"F-GSWT (850)","PAS DE MODELE"))))))))</f>
        <v>F-GSWT (300)</v>
      </c>
      <c r="J38" s="24"/>
      <c r="K38" s="24"/>
      <c r="L38" s="24"/>
      <c r="M38" s="55"/>
      <c r="O38" s="12" t="s">
        <v>16</v>
      </c>
      <c r="P38" s="17">
        <f>'LOGEMENTS COLLECTIFS'!O2</f>
        <v>50</v>
      </c>
      <c r="Q38" s="1"/>
      <c r="R38" s="1"/>
      <c r="S38" s="1"/>
      <c r="T38" s="1"/>
      <c r="W38" s="55"/>
      <c r="Y38" s="50">
        <v>2900</v>
      </c>
      <c r="Z38" s="51" t="s">
        <v>66</v>
      </c>
      <c r="AA38" s="78"/>
      <c r="AB38" s="67"/>
      <c r="AC38" s="67"/>
      <c r="AD38" s="47"/>
      <c r="AE38" s="47"/>
      <c r="AF38" s="47"/>
      <c r="AG38" s="47"/>
      <c r="AH38" s="47"/>
    </row>
    <row r="39" spans="1:34" x14ac:dyDescent="0.25">
      <c r="A39" s="24" t="s">
        <v>29</v>
      </c>
      <c r="B39" s="102" t="str">
        <f>IF(B38="PAS DE MODELE","PAS DE MODELE",VLOOKUP(C30,$Y$7:$Z$77,2))</f>
        <v>500 L</v>
      </c>
      <c r="C39" s="24"/>
      <c r="D39" s="24"/>
      <c r="E39" s="24"/>
      <c r="F39" s="24"/>
      <c r="G39" s="24"/>
      <c r="H39" s="24" t="s">
        <v>29</v>
      </c>
      <c r="I39" s="102" t="str">
        <f>IF(I38="PAS DE MODELE","PAS DE MODELE",VLOOKUP(G22,$Y$7:$Z$77,2))</f>
        <v>500 L</v>
      </c>
      <c r="J39" s="24"/>
      <c r="K39" s="24"/>
      <c r="L39" s="24"/>
      <c r="M39" s="55"/>
      <c r="O39" s="1"/>
      <c r="P39" s="1"/>
      <c r="Q39" s="1"/>
      <c r="R39" s="1"/>
      <c r="S39" s="1"/>
      <c r="T39" s="1"/>
      <c r="W39" s="55"/>
      <c r="Y39" s="50">
        <v>3000</v>
      </c>
      <c r="Z39" s="51" t="s">
        <v>66</v>
      </c>
      <c r="AA39" s="78"/>
      <c r="AB39" s="67"/>
      <c r="AC39" s="67"/>
      <c r="AD39" s="47"/>
      <c r="AE39" s="47"/>
      <c r="AF39" s="47"/>
      <c r="AG39" s="47"/>
      <c r="AH39" s="47"/>
    </row>
    <row r="40" spans="1:34" x14ac:dyDescent="0.25">
      <c r="A40" s="24"/>
      <c r="B40" s="33"/>
      <c r="C40" s="24"/>
      <c r="D40" s="24"/>
      <c r="E40" s="24"/>
      <c r="F40" s="24"/>
      <c r="G40" s="24"/>
      <c r="H40" s="24"/>
      <c r="I40" s="24"/>
      <c r="J40" s="24"/>
      <c r="K40" s="24"/>
      <c r="L40" s="24"/>
      <c r="M40" s="55"/>
      <c r="O40" s="9" t="s">
        <v>24</v>
      </c>
      <c r="P40" s="19">
        <f>G18*50/P7</f>
        <v>575.78955790880411</v>
      </c>
      <c r="Q40" s="1"/>
      <c r="R40" s="1"/>
      <c r="S40" s="1"/>
      <c r="T40" s="1"/>
      <c r="W40" s="55"/>
      <c r="Y40" s="50">
        <v>3100</v>
      </c>
      <c r="Z40" s="51" t="s">
        <v>66</v>
      </c>
      <c r="AA40" s="78"/>
      <c r="AB40" s="67"/>
      <c r="AC40" s="67"/>
      <c r="AD40" s="47"/>
      <c r="AE40" s="47"/>
      <c r="AF40" s="47"/>
      <c r="AG40" s="47"/>
      <c r="AH40" s="47"/>
    </row>
    <row r="41" spans="1:34" x14ac:dyDescent="0.25">
      <c r="A41" s="24"/>
      <c r="B41" s="33"/>
      <c r="C41" s="24"/>
      <c r="D41" s="24"/>
      <c r="E41" s="24"/>
      <c r="F41" s="24"/>
      <c r="G41" s="24"/>
      <c r="H41" s="24"/>
      <c r="I41" s="24"/>
      <c r="J41" s="24"/>
      <c r="K41" s="24"/>
      <c r="L41" s="24"/>
      <c r="M41" s="55"/>
      <c r="O41" s="14" t="s">
        <v>26</v>
      </c>
      <c r="P41" s="19">
        <f>P40/10</f>
        <v>57.578955790880414</v>
      </c>
      <c r="Q41" s="1"/>
      <c r="R41" s="1"/>
      <c r="S41" s="1"/>
      <c r="T41" s="1"/>
      <c r="W41" s="55"/>
      <c r="Y41" s="50">
        <v>3200</v>
      </c>
      <c r="Z41" s="51" t="s">
        <v>66</v>
      </c>
      <c r="AA41" s="78"/>
      <c r="AB41" s="67"/>
      <c r="AC41" s="67"/>
      <c r="AD41" s="47"/>
      <c r="AE41" s="47"/>
      <c r="AF41" s="47"/>
      <c r="AG41" s="47"/>
      <c r="AH41" s="47"/>
    </row>
    <row r="42" spans="1:34" x14ac:dyDescent="0.25">
      <c r="A42" s="25"/>
      <c r="B42" s="26"/>
      <c r="C42" s="24"/>
      <c r="D42" s="24"/>
      <c r="E42" s="24"/>
      <c r="F42" s="24"/>
      <c r="G42" s="24"/>
      <c r="H42" s="24"/>
      <c r="I42" s="24"/>
      <c r="J42" s="24"/>
      <c r="K42" s="24"/>
      <c r="L42" s="24"/>
      <c r="M42" s="55"/>
      <c r="O42" s="14" t="s">
        <v>25</v>
      </c>
      <c r="P42" s="19">
        <f>(G19*50)/P38</f>
        <v>1621.6469628609293</v>
      </c>
      <c r="Q42" s="1"/>
      <c r="R42" s="1"/>
      <c r="S42" s="1"/>
      <c r="T42" s="1"/>
      <c r="W42" s="55"/>
      <c r="Y42" s="50">
        <v>3300</v>
      </c>
      <c r="Z42" s="51" t="s">
        <v>66</v>
      </c>
      <c r="AA42" s="78"/>
      <c r="AB42" s="67"/>
      <c r="AC42" s="67"/>
      <c r="AD42" s="47"/>
      <c r="AE42" s="47"/>
      <c r="AF42" s="47"/>
      <c r="AG42" s="47"/>
      <c r="AH42" s="47"/>
    </row>
    <row r="43" spans="1:34" x14ac:dyDescent="0.25">
      <c r="A43" s="25"/>
      <c r="B43" s="26"/>
      <c r="C43" s="24"/>
      <c r="D43" s="24"/>
      <c r="E43" s="24"/>
      <c r="F43" s="24"/>
      <c r="G43" s="24"/>
      <c r="H43" s="24"/>
      <c r="I43" s="24"/>
      <c r="J43" s="24"/>
      <c r="K43" s="24"/>
      <c r="L43" s="24"/>
      <c r="M43" s="55"/>
      <c r="O43" s="27"/>
      <c r="P43" s="26"/>
      <c r="Q43" s="1"/>
      <c r="R43" s="1"/>
      <c r="S43" s="1"/>
      <c r="T43" s="1"/>
      <c r="W43" s="55"/>
      <c r="Y43" s="50">
        <v>3400</v>
      </c>
      <c r="Z43" s="51" t="s">
        <v>67</v>
      </c>
      <c r="AA43" s="78"/>
      <c r="AB43" s="67"/>
      <c r="AC43" s="67"/>
      <c r="AD43" s="47"/>
      <c r="AE43" s="47"/>
      <c r="AF43" s="47"/>
      <c r="AG43" s="47"/>
      <c r="AH43" s="47"/>
    </row>
    <row r="44" spans="1:34" ht="22.5" customHeight="1" x14ac:dyDescent="0.25">
      <c r="A44" s="58"/>
      <c r="B44" s="58"/>
      <c r="C44" s="58"/>
      <c r="D44" s="58"/>
      <c r="E44" s="58"/>
      <c r="F44" s="58"/>
      <c r="G44" s="58"/>
      <c r="H44" s="58"/>
      <c r="I44" s="58"/>
      <c r="J44" s="58"/>
      <c r="K44" s="58"/>
      <c r="L44" s="58"/>
      <c r="M44" s="55"/>
      <c r="O44" s="16" t="s">
        <v>194</v>
      </c>
      <c r="P44" s="19">
        <f>3*P40</f>
        <v>1727.3686737264125</v>
      </c>
      <c r="Q44" s="1"/>
      <c r="R44" s="1"/>
      <c r="S44" s="1"/>
      <c r="T44" s="1"/>
      <c r="V44" s="55"/>
      <c r="W44" s="55"/>
      <c r="Y44" s="50">
        <v>3500</v>
      </c>
      <c r="Z44" s="51" t="s">
        <v>67</v>
      </c>
      <c r="AA44" s="78"/>
      <c r="AB44" s="67"/>
      <c r="AC44" s="67"/>
      <c r="AD44" s="47"/>
      <c r="AE44" s="47"/>
      <c r="AF44" s="47"/>
      <c r="AG44" s="47"/>
      <c r="AH44" s="47"/>
    </row>
    <row r="45" spans="1:34" x14ac:dyDescent="0.25">
      <c r="A45" s="27"/>
      <c r="B45" s="28"/>
      <c r="C45" s="24"/>
      <c r="D45" s="24"/>
      <c r="E45" s="24"/>
      <c r="F45" s="24"/>
      <c r="G45" s="24"/>
      <c r="H45" s="24"/>
      <c r="I45" s="24"/>
      <c r="J45" s="24"/>
      <c r="K45" s="24"/>
      <c r="L45" s="24"/>
      <c r="M45" s="55"/>
      <c r="O45" s="1"/>
      <c r="P45" s="1"/>
      <c r="Q45" s="1"/>
      <c r="R45" s="1"/>
      <c r="S45" s="1"/>
      <c r="T45" s="1"/>
      <c r="W45" s="55"/>
      <c r="Y45" s="50">
        <v>3600</v>
      </c>
      <c r="Z45" s="51" t="s">
        <v>67</v>
      </c>
      <c r="AA45" s="78"/>
      <c r="AB45" s="67"/>
      <c r="AC45" s="67"/>
      <c r="AD45" s="47"/>
      <c r="AE45" s="47"/>
      <c r="AF45" s="47"/>
      <c r="AG45" s="47"/>
      <c r="AH45" s="47"/>
    </row>
    <row r="46" spans="1:34" x14ac:dyDescent="0.25">
      <c r="A46" s="24"/>
      <c r="B46" s="24"/>
      <c r="C46" s="24"/>
      <c r="D46" s="24"/>
      <c r="E46" s="24"/>
      <c r="F46" s="24"/>
      <c r="G46" s="24"/>
      <c r="H46" s="24"/>
      <c r="I46" s="24"/>
      <c r="J46" s="24"/>
      <c r="K46" s="24"/>
      <c r="L46" s="24"/>
      <c r="M46" s="55"/>
      <c r="O46" s="16" t="s">
        <v>21</v>
      </c>
      <c r="P46" s="22">
        <f>'LOGEMENTS COLLECTIFS'!H23</f>
        <v>500</v>
      </c>
      <c r="Q46" s="1"/>
      <c r="R46" s="1"/>
      <c r="S46" s="94" t="s">
        <v>196</v>
      </c>
      <c r="T46" s="512">
        <f>IF(P46&gt;P40,"ERREUR - Volume Tampon trop important",((P44-P46)*50)/860)</f>
        <v>71.358643821303048</v>
      </c>
      <c r="U46" s="513"/>
      <c r="W46" s="55"/>
      <c r="Y46" s="50">
        <v>3700</v>
      </c>
      <c r="Z46" s="51" t="s">
        <v>67</v>
      </c>
      <c r="AA46" s="78"/>
      <c r="AB46" s="67"/>
      <c r="AC46" s="67"/>
      <c r="AD46" s="47"/>
      <c r="AE46" s="47"/>
      <c r="AF46" s="47"/>
      <c r="AG46" s="47"/>
      <c r="AH46" s="47"/>
    </row>
    <row r="47" spans="1:34" x14ac:dyDescent="0.25">
      <c r="A47" s="508" t="s">
        <v>51</v>
      </c>
      <c r="B47" s="509"/>
      <c r="C47" s="24"/>
      <c r="D47" s="24"/>
      <c r="E47" s="24"/>
      <c r="F47" s="24"/>
      <c r="G47" s="24"/>
      <c r="H47" s="508" t="s">
        <v>124</v>
      </c>
      <c r="I47" s="509"/>
      <c r="J47" s="24"/>
      <c r="K47" s="24"/>
      <c r="L47" s="24"/>
      <c r="M47" s="55"/>
      <c r="S47" s="523" t="s">
        <v>195</v>
      </c>
      <c r="T47" s="524">
        <f>IF(P46&lt;(0.4*P40),(J18-((P46*50)/860)),(J18-T46))</f>
        <v>130.16770144677844</v>
      </c>
      <c r="U47" s="525"/>
      <c r="W47" s="55"/>
      <c r="Y47" s="50">
        <v>3800</v>
      </c>
      <c r="Z47" s="51" t="s">
        <v>67</v>
      </c>
      <c r="AA47" s="78"/>
      <c r="AB47" s="67"/>
      <c r="AC47" s="67"/>
      <c r="AD47" s="47"/>
      <c r="AE47" s="47"/>
      <c r="AF47" s="47"/>
      <c r="AG47" s="47"/>
      <c r="AH47" s="47"/>
    </row>
    <row r="48" spans="1:34" x14ac:dyDescent="0.25">
      <c r="A48" s="59"/>
      <c r="B48" s="63"/>
      <c r="C48" s="64"/>
      <c r="D48" s="65"/>
      <c r="E48" s="65"/>
      <c r="F48" s="65"/>
      <c r="G48" s="65"/>
      <c r="H48" s="59"/>
      <c r="I48" s="63"/>
      <c r="J48" s="65"/>
      <c r="K48" s="65"/>
      <c r="L48" s="65"/>
      <c r="M48" s="55"/>
      <c r="S48" s="464"/>
      <c r="T48" s="409"/>
      <c r="U48" s="409"/>
      <c r="W48" s="55"/>
      <c r="Y48" s="50">
        <v>3900</v>
      </c>
      <c r="Z48" s="51" t="s">
        <v>67</v>
      </c>
      <c r="AA48" s="78"/>
      <c r="AB48" s="67"/>
      <c r="AC48" s="67"/>
      <c r="AD48" s="47"/>
      <c r="AE48" s="47"/>
      <c r="AF48" s="47"/>
      <c r="AG48" s="47"/>
      <c r="AH48" s="47"/>
    </row>
    <row r="49" spans="1:34" x14ac:dyDescent="0.25">
      <c r="A49" s="59"/>
      <c r="B49" s="63"/>
      <c r="C49" s="64"/>
      <c r="D49" s="65"/>
      <c r="E49" s="65"/>
      <c r="F49" s="65"/>
      <c r="G49" s="65"/>
      <c r="H49" s="59"/>
      <c r="I49" s="63"/>
      <c r="J49" s="65"/>
      <c r="K49" s="65"/>
      <c r="L49" s="65"/>
      <c r="M49" s="55"/>
      <c r="W49" s="55"/>
      <c r="Y49" s="50">
        <v>4000</v>
      </c>
      <c r="Z49" s="51" t="s">
        <v>67</v>
      </c>
      <c r="AA49" s="78"/>
      <c r="AB49" s="67"/>
      <c r="AC49" s="67"/>
      <c r="AD49" s="47"/>
      <c r="AE49" s="47"/>
      <c r="AF49" s="47"/>
      <c r="AG49" s="47"/>
      <c r="AH49" s="47"/>
    </row>
    <row r="50" spans="1:34" x14ac:dyDescent="0.25">
      <c r="A50" s="59"/>
      <c r="B50" s="63"/>
      <c r="C50" s="64"/>
      <c r="D50" s="65"/>
      <c r="E50" s="65"/>
      <c r="F50" s="65"/>
      <c r="G50" s="65"/>
      <c r="H50" s="59"/>
      <c r="I50" s="63"/>
      <c r="J50" s="65"/>
      <c r="K50" s="65"/>
      <c r="L50" s="65"/>
      <c r="M50" s="55"/>
      <c r="W50" s="55"/>
      <c r="Y50" s="50">
        <v>4100</v>
      </c>
      <c r="Z50" s="51" t="s">
        <v>67</v>
      </c>
      <c r="AA50" s="78"/>
      <c r="AB50" s="67"/>
      <c r="AC50" s="67"/>
      <c r="AD50" s="47"/>
      <c r="AE50" s="47"/>
      <c r="AF50" s="47"/>
      <c r="AG50" s="47"/>
      <c r="AH50" s="47"/>
    </row>
    <row r="51" spans="1:34" x14ac:dyDescent="0.25">
      <c r="A51" s="24"/>
      <c r="B51" s="24"/>
      <c r="C51" s="24"/>
      <c r="D51" s="24"/>
      <c r="E51" s="24"/>
      <c r="F51" s="24"/>
      <c r="G51" s="24"/>
      <c r="H51" s="24"/>
      <c r="I51" s="24"/>
      <c r="J51" s="24"/>
      <c r="K51" s="24"/>
      <c r="L51" s="24"/>
      <c r="M51" s="55"/>
      <c r="O51" s="93" t="s">
        <v>49</v>
      </c>
      <c r="P51" s="95">
        <f>T47/1.16/40</f>
        <v>2.8053383932495355</v>
      </c>
      <c r="W51" s="55"/>
      <c r="Y51" s="50">
        <v>4200</v>
      </c>
      <c r="Z51" s="51" t="s">
        <v>67</v>
      </c>
      <c r="AA51" s="78"/>
      <c r="AB51" s="67"/>
      <c r="AC51" s="67"/>
      <c r="AD51" s="47"/>
      <c r="AE51" s="47"/>
      <c r="AF51" s="47"/>
      <c r="AG51" s="47"/>
      <c r="AH51" s="47"/>
    </row>
    <row r="52" spans="1:34" x14ac:dyDescent="0.25">
      <c r="A52" s="20" t="s">
        <v>27</v>
      </c>
      <c r="B52" s="72" t="str">
        <f>IF(B27&lt;50,"aqua L (10)",IF(B27&lt;90,"aqua L (16)",IF(B27&lt;115,"aqua L (20)",IF(B27&lt;175,"aqua L (30)",IF(B27&lt;230,"aqua L (40)",IF(B27&lt;275,"aqua L (50)","PAS DE MODELE"))))))</f>
        <v>aqua L (16)</v>
      </c>
      <c r="C52" s="24"/>
      <c r="D52" s="24"/>
      <c r="E52" s="24"/>
      <c r="F52" s="24"/>
      <c r="G52" s="24"/>
      <c r="H52" s="20" t="s">
        <v>27</v>
      </c>
      <c r="I52" s="72" t="str">
        <f>IF(J19&lt;50,"aqua L (10)",IF(J19&lt;90,"aqua L (16)",IF(J19&lt;115,"aqua L (20)",IF(J19&lt;175,"aqua L (30)",IF(J19&lt;230,"aqua L (40)",IF(J19&lt;275,"aqua L (50)","PAS DE MODELE"))))))</f>
        <v>aqua L (20)</v>
      </c>
      <c r="J52" s="24"/>
      <c r="K52" s="24"/>
      <c r="L52" s="24"/>
      <c r="M52" s="55"/>
      <c r="O52" s="59"/>
      <c r="P52" s="205"/>
      <c r="W52" s="55"/>
      <c r="Y52" s="50">
        <v>4300</v>
      </c>
      <c r="Z52" s="51" t="s">
        <v>67</v>
      </c>
      <c r="AA52" s="78"/>
      <c r="AB52" s="67"/>
      <c r="AC52" s="67"/>
      <c r="AD52" s="47"/>
      <c r="AE52" s="47"/>
      <c r="AF52" s="47"/>
      <c r="AG52" s="47"/>
      <c r="AH52" s="47"/>
    </row>
    <row r="53" spans="1:34" x14ac:dyDescent="0.25">
      <c r="A53" s="24" t="s">
        <v>55</v>
      </c>
      <c r="B53" s="73" t="str">
        <f>IF(B52="PAS DE MODELE","PAS DE MODELE",VLOOKUP(G30,AB7:AC29,2))</f>
        <v>200 L</v>
      </c>
      <c r="C53" s="24"/>
      <c r="D53" s="24"/>
      <c r="E53" s="24"/>
      <c r="F53" s="24"/>
      <c r="G53" s="24"/>
      <c r="H53" s="24" t="s">
        <v>55</v>
      </c>
      <c r="I53" s="73" t="str">
        <f>IF(I52="PAS DE MODELE","PAS DE MODELE",VLOOKUP(K22,AB7:AC29,2))</f>
        <v>300 L</v>
      </c>
      <c r="J53" s="24"/>
      <c r="K53" s="24"/>
      <c r="L53" s="24"/>
      <c r="M53" s="55"/>
      <c r="O53" s="59"/>
      <c r="P53" s="205"/>
      <c r="W53" s="55"/>
      <c r="Y53" s="50">
        <v>4400</v>
      </c>
      <c r="Z53" s="51" t="s">
        <v>67</v>
      </c>
      <c r="AA53" s="78"/>
      <c r="AB53" s="67"/>
      <c r="AC53" s="67"/>
      <c r="AD53" s="47"/>
      <c r="AE53" s="47"/>
      <c r="AF53" s="47"/>
      <c r="AG53" s="47"/>
      <c r="AH53" s="47"/>
    </row>
    <row r="54" spans="1:34" x14ac:dyDescent="0.25">
      <c r="A54" s="24"/>
      <c r="B54" s="33"/>
      <c r="C54" s="24"/>
      <c r="D54" s="24"/>
      <c r="E54" s="24"/>
      <c r="F54" s="24"/>
      <c r="G54" s="24"/>
      <c r="H54" s="24"/>
      <c r="I54" s="33"/>
      <c r="J54" s="24"/>
      <c r="K54" s="24"/>
      <c r="L54" s="24"/>
      <c r="M54" s="55"/>
      <c r="W54" s="55"/>
      <c r="Y54" s="50">
        <v>4500</v>
      </c>
      <c r="Z54" s="51" t="s">
        <v>68</v>
      </c>
      <c r="AA54" s="78"/>
      <c r="AB54" s="67"/>
      <c r="AC54" s="67"/>
      <c r="AD54" s="47"/>
      <c r="AE54" s="47"/>
      <c r="AF54" s="47"/>
      <c r="AG54" s="47"/>
      <c r="AH54" s="47"/>
    </row>
    <row r="55" spans="1:34" x14ac:dyDescent="0.25">
      <c r="A55" s="24"/>
      <c r="B55" s="33"/>
      <c r="C55" s="24"/>
      <c r="D55" s="24"/>
      <c r="E55" s="24"/>
      <c r="F55" s="24"/>
      <c r="G55" s="24"/>
      <c r="H55" s="24"/>
      <c r="I55" s="24"/>
      <c r="J55" s="24"/>
      <c r="K55" s="24"/>
      <c r="L55" s="24"/>
      <c r="M55" s="55"/>
      <c r="W55" s="55"/>
      <c r="Y55" s="50">
        <v>4600</v>
      </c>
      <c r="Z55" s="51" t="s">
        <v>68</v>
      </c>
      <c r="AA55" s="78"/>
      <c r="AB55" s="67"/>
      <c r="AC55" s="67"/>
      <c r="AD55" s="47"/>
      <c r="AE55" s="47"/>
      <c r="AF55" s="47"/>
      <c r="AG55" s="47"/>
      <c r="AH55" s="47"/>
    </row>
    <row r="56" spans="1:34" x14ac:dyDescent="0.25">
      <c r="A56" s="25"/>
      <c r="B56" s="26"/>
      <c r="C56" s="24"/>
      <c r="D56" s="24"/>
      <c r="E56" s="24"/>
      <c r="F56" s="24"/>
      <c r="G56" s="24"/>
      <c r="H56" s="24"/>
      <c r="I56" s="24"/>
      <c r="J56" s="24"/>
      <c r="K56" s="24"/>
      <c r="L56" s="24"/>
      <c r="M56" s="55"/>
      <c r="W56" s="55"/>
      <c r="Y56" s="50">
        <v>4700</v>
      </c>
      <c r="Z56" s="51" t="s">
        <v>68</v>
      </c>
      <c r="AA56" s="78"/>
      <c r="AB56" s="67"/>
      <c r="AC56" s="67"/>
      <c r="AD56" s="47"/>
      <c r="AE56" s="47"/>
      <c r="AF56" s="47"/>
      <c r="AG56" s="47"/>
      <c r="AH56" s="47"/>
    </row>
    <row r="57" spans="1:34" x14ac:dyDescent="0.25">
      <c r="A57" s="25"/>
      <c r="B57" s="26"/>
      <c r="C57" s="24"/>
      <c r="D57" s="24"/>
      <c r="E57" s="24"/>
      <c r="F57" s="24"/>
      <c r="G57" s="24"/>
      <c r="H57" s="24"/>
      <c r="I57" s="24"/>
      <c r="J57" s="24"/>
      <c r="K57" s="24"/>
      <c r="L57" s="24"/>
      <c r="M57" s="55"/>
      <c r="W57" s="55"/>
      <c r="Y57" s="50">
        <v>4800</v>
      </c>
      <c r="Z57" s="51" t="s">
        <v>68</v>
      </c>
      <c r="AA57" s="78"/>
      <c r="AB57" s="67"/>
      <c r="AC57" s="67"/>
      <c r="AD57" s="47"/>
      <c r="AE57" s="47"/>
      <c r="AF57" s="47"/>
      <c r="AG57" s="47"/>
      <c r="AH57" s="47"/>
    </row>
    <row r="58" spans="1:34" x14ac:dyDescent="0.25">
      <c r="A58" s="58"/>
      <c r="B58" s="58"/>
      <c r="C58" s="58"/>
      <c r="D58" s="58"/>
      <c r="E58" s="58"/>
      <c r="F58" s="58"/>
      <c r="G58" s="58"/>
      <c r="H58" s="58"/>
      <c r="I58" s="58"/>
      <c r="J58" s="58"/>
      <c r="K58" s="58"/>
      <c r="L58" s="58"/>
      <c r="M58" s="55"/>
      <c r="W58" s="55"/>
      <c r="Y58" s="50">
        <v>4900</v>
      </c>
      <c r="Z58" s="51" t="s">
        <v>68</v>
      </c>
      <c r="AA58" s="78"/>
      <c r="AB58" s="67"/>
      <c r="AC58" s="67"/>
      <c r="AD58" s="47"/>
      <c r="AE58" s="47"/>
      <c r="AF58" s="47"/>
      <c r="AG58" s="47"/>
      <c r="AH58" s="47"/>
    </row>
    <row r="59" spans="1:34" x14ac:dyDescent="0.25">
      <c r="M59" s="55"/>
      <c r="W59" s="55"/>
      <c r="Y59" s="50">
        <v>5000</v>
      </c>
      <c r="Z59" s="51" t="s">
        <v>68</v>
      </c>
      <c r="AA59" s="78"/>
      <c r="AB59" s="67"/>
      <c r="AC59" s="67"/>
      <c r="AD59" s="47"/>
      <c r="AE59" s="47"/>
      <c r="AF59" s="47"/>
      <c r="AG59" s="47"/>
      <c r="AH59" s="47"/>
    </row>
    <row r="60" spans="1:34" x14ac:dyDescent="0.25">
      <c r="M60" s="55"/>
      <c r="W60" s="55"/>
      <c r="Y60" s="50">
        <v>5100</v>
      </c>
      <c r="Z60" s="51" t="s">
        <v>68</v>
      </c>
      <c r="AA60" s="78"/>
      <c r="AB60" s="67"/>
      <c r="AC60" s="67"/>
      <c r="AD60" s="47"/>
      <c r="AE60" s="47"/>
      <c r="AF60" s="47"/>
      <c r="AG60" s="47"/>
      <c r="AH60" s="47"/>
    </row>
    <row r="61" spans="1:34" x14ac:dyDescent="0.25">
      <c r="M61" s="55"/>
      <c r="W61" s="55"/>
      <c r="Y61" s="50">
        <v>5200</v>
      </c>
      <c r="Z61" s="51" t="s">
        <v>68</v>
      </c>
      <c r="AA61" s="78"/>
      <c r="AB61" s="67"/>
      <c r="AC61" s="67"/>
      <c r="AD61" s="47"/>
      <c r="AE61" s="47"/>
      <c r="AF61" s="47"/>
      <c r="AG61" s="47"/>
      <c r="AH61" s="47"/>
    </row>
    <row r="62" spans="1:34" x14ac:dyDescent="0.25">
      <c r="M62" s="55"/>
      <c r="W62" s="55"/>
      <c r="Y62" s="50">
        <v>5300</v>
      </c>
      <c r="Z62" s="51" t="s">
        <v>68</v>
      </c>
      <c r="AA62" s="78"/>
      <c r="AB62" s="67"/>
      <c r="AC62" s="67"/>
      <c r="AD62" s="47"/>
      <c r="AE62" s="47"/>
      <c r="AF62" s="47"/>
      <c r="AG62" s="47"/>
      <c r="AH62" s="47"/>
    </row>
    <row r="63" spans="1:34" x14ac:dyDescent="0.25">
      <c r="M63" s="55"/>
      <c r="W63" s="55"/>
      <c r="Y63" s="50">
        <v>5400</v>
      </c>
      <c r="Z63" s="51" t="s">
        <v>68</v>
      </c>
      <c r="AA63" s="78"/>
      <c r="AB63" s="67"/>
      <c r="AC63" s="67"/>
      <c r="AD63" s="47"/>
      <c r="AE63" s="47"/>
      <c r="AF63" s="47"/>
      <c r="AG63" s="47"/>
      <c r="AH63" s="47"/>
    </row>
    <row r="64" spans="1:34" x14ac:dyDescent="0.25">
      <c r="M64" s="55"/>
      <c r="W64" s="55"/>
      <c r="Y64" s="50">
        <v>5500</v>
      </c>
      <c r="Z64" s="51" t="s">
        <v>68</v>
      </c>
      <c r="AA64" s="78"/>
      <c r="AB64" s="67"/>
      <c r="AC64" s="67"/>
      <c r="AD64" s="47"/>
      <c r="AE64" s="47"/>
      <c r="AF64" s="47"/>
      <c r="AG64" s="47"/>
      <c r="AH64" s="47"/>
    </row>
    <row r="65" spans="13:34" x14ac:dyDescent="0.25">
      <c r="M65" s="55"/>
      <c r="W65" s="55"/>
      <c r="Y65" s="50">
        <v>5600</v>
      </c>
      <c r="Z65" s="51" t="s">
        <v>68</v>
      </c>
      <c r="AA65" s="78"/>
      <c r="AB65" s="67"/>
      <c r="AC65" s="67"/>
      <c r="AD65" s="47"/>
      <c r="AE65" s="47"/>
      <c r="AF65" s="47"/>
      <c r="AG65" s="47"/>
      <c r="AH65" s="47"/>
    </row>
    <row r="66" spans="13:34" x14ac:dyDescent="0.25">
      <c r="M66" s="55"/>
      <c r="W66" s="55"/>
      <c r="Y66" s="50">
        <v>5700</v>
      </c>
      <c r="Z66" s="51" t="s">
        <v>68</v>
      </c>
      <c r="AA66" s="78"/>
      <c r="AB66" s="67"/>
      <c r="AC66" s="67"/>
      <c r="AD66" s="47"/>
      <c r="AE66" s="47"/>
      <c r="AF66" s="47"/>
      <c r="AG66" s="47"/>
      <c r="AH66" s="47"/>
    </row>
    <row r="67" spans="13:34" x14ac:dyDescent="0.25">
      <c r="M67" s="55"/>
      <c r="W67" s="55"/>
      <c r="Y67" s="50">
        <v>5800</v>
      </c>
      <c r="Z67" s="51" t="s">
        <v>68</v>
      </c>
      <c r="AA67" s="78"/>
      <c r="AB67" s="67"/>
      <c r="AC67" s="67"/>
      <c r="AD67" s="47"/>
      <c r="AE67" s="47"/>
      <c r="AF67" s="47"/>
      <c r="AG67" s="47"/>
      <c r="AH67" s="47"/>
    </row>
    <row r="68" spans="13:34" x14ac:dyDescent="0.25">
      <c r="M68" s="55"/>
      <c r="W68" s="55"/>
      <c r="Y68" s="50">
        <v>5900</v>
      </c>
      <c r="Z68" s="51" t="s">
        <v>68</v>
      </c>
      <c r="AA68" s="78"/>
      <c r="AB68" s="67"/>
      <c r="AC68" s="67"/>
      <c r="AD68" s="47"/>
      <c r="AE68" s="47"/>
      <c r="AF68" s="47"/>
      <c r="AG68" s="47"/>
      <c r="AH68" s="47"/>
    </row>
    <row r="69" spans="13:34" x14ac:dyDescent="0.25">
      <c r="M69" s="55"/>
      <c r="W69" s="55"/>
      <c r="Y69" s="50">
        <v>6000</v>
      </c>
      <c r="Z69" s="51" t="s">
        <v>68</v>
      </c>
      <c r="AA69" s="78"/>
      <c r="AB69" s="67"/>
      <c r="AC69" s="67"/>
      <c r="AD69" s="47"/>
      <c r="AE69" s="47"/>
      <c r="AF69" s="47"/>
      <c r="AG69" s="47"/>
      <c r="AH69" s="47"/>
    </row>
    <row r="70" spans="13:34" x14ac:dyDescent="0.25">
      <c r="M70" s="55"/>
      <c r="W70" s="55"/>
      <c r="Y70" s="66"/>
      <c r="Z70" s="67"/>
      <c r="AA70" s="78"/>
      <c r="AB70" s="67"/>
      <c r="AC70" s="67"/>
      <c r="AD70" s="47"/>
      <c r="AE70" s="47"/>
      <c r="AF70" s="47"/>
      <c r="AG70" s="47"/>
      <c r="AH70" s="47"/>
    </row>
    <row r="71" spans="13:34" x14ac:dyDescent="0.25">
      <c r="M71" s="55"/>
      <c r="W71" s="55"/>
      <c r="Y71" s="66"/>
      <c r="Z71" s="67"/>
      <c r="AA71" s="78"/>
      <c r="AB71" s="67"/>
      <c r="AC71" s="67"/>
      <c r="AD71" s="47"/>
      <c r="AE71" s="47"/>
      <c r="AF71" s="47"/>
      <c r="AG71" s="47"/>
      <c r="AH71" s="47"/>
    </row>
    <row r="72" spans="13:34" x14ac:dyDescent="0.25">
      <c r="M72" s="55"/>
      <c r="W72" s="55"/>
      <c r="Y72" s="66"/>
      <c r="Z72" s="67"/>
      <c r="AA72" s="78"/>
      <c r="AB72" s="67"/>
      <c r="AC72" s="67"/>
      <c r="AD72" s="47"/>
      <c r="AE72" s="47"/>
      <c r="AF72" s="47"/>
      <c r="AG72" s="47"/>
      <c r="AH72" s="47"/>
    </row>
    <row r="73" spans="13:34" x14ac:dyDescent="0.25">
      <c r="M73" s="55"/>
      <c r="W73" s="55"/>
      <c r="Y73" s="66"/>
      <c r="Z73" s="67"/>
      <c r="AA73" s="78"/>
      <c r="AB73" s="67"/>
      <c r="AC73" s="67"/>
      <c r="AD73" s="47"/>
      <c r="AE73" s="47"/>
      <c r="AF73" s="47"/>
      <c r="AG73" s="47"/>
      <c r="AH73" s="47"/>
    </row>
    <row r="74" spans="13:34" x14ac:dyDescent="0.25">
      <c r="M74" s="55"/>
      <c r="W74" s="55"/>
      <c r="Y74" s="66"/>
      <c r="Z74" s="67"/>
      <c r="AA74" s="78"/>
      <c r="AB74" s="67"/>
      <c r="AC74" s="67"/>
      <c r="AD74" s="47"/>
      <c r="AE74" s="47"/>
      <c r="AF74" s="47"/>
      <c r="AG74" s="47"/>
      <c r="AH74" s="47"/>
    </row>
    <row r="75" spans="13:34" x14ac:dyDescent="0.25">
      <c r="M75" s="55"/>
      <c r="W75" s="55"/>
      <c r="Y75" s="66"/>
      <c r="Z75" s="67"/>
      <c r="AA75" s="78"/>
      <c r="AB75" s="67"/>
      <c r="AC75" s="67"/>
      <c r="AD75" s="47"/>
      <c r="AE75" s="47"/>
      <c r="AF75" s="47"/>
      <c r="AG75" s="47"/>
      <c r="AH75" s="47"/>
    </row>
    <row r="76" spans="13:34" x14ac:dyDescent="0.25">
      <c r="M76" s="55"/>
      <c r="W76" s="55"/>
      <c r="Y76" s="66"/>
      <c r="Z76" s="67"/>
      <c r="AA76" s="78"/>
      <c r="AB76" s="67"/>
      <c r="AC76" s="67"/>
      <c r="AD76" s="47"/>
      <c r="AE76" s="47"/>
      <c r="AF76" s="47"/>
      <c r="AG76" s="47"/>
      <c r="AH76" s="47"/>
    </row>
    <row r="77" spans="13:34" x14ac:dyDescent="0.25">
      <c r="M77" s="55"/>
      <c r="W77" s="55"/>
      <c r="Y77" s="66"/>
      <c r="Z77" s="67"/>
      <c r="AA77" s="78"/>
      <c r="AB77" s="67"/>
      <c r="AC77" s="67"/>
      <c r="AD77" s="47"/>
      <c r="AE77" s="47"/>
      <c r="AF77" s="47"/>
      <c r="AG77" s="47"/>
      <c r="AH77" s="47"/>
    </row>
    <row r="78" spans="13:34" x14ac:dyDescent="0.25">
      <c r="M78" s="55"/>
      <c r="W78" s="55"/>
    </row>
    <row r="79" spans="13:34" x14ac:dyDescent="0.25">
      <c r="M79" s="55"/>
      <c r="W79" s="55"/>
    </row>
    <row r="80" spans="13:34" x14ac:dyDescent="0.25">
      <c r="M80" s="55"/>
      <c r="W80" s="55"/>
    </row>
    <row r="81" spans="13:13" x14ac:dyDescent="0.25">
      <c r="M81" s="30"/>
    </row>
    <row r="82" spans="13:13" x14ac:dyDescent="0.25">
      <c r="M82" s="30"/>
    </row>
    <row r="83" spans="13:13" x14ac:dyDescent="0.25">
      <c r="M83" s="30"/>
    </row>
    <row r="84" spans="13:13" x14ac:dyDescent="0.25">
      <c r="M84" s="30"/>
    </row>
    <row r="85" spans="13:13" x14ac:dyDescent="0.25">
      <c r="M85" s="30"/>
    </row>
    <row r="86" spans="13:13" x14ac:dyDescent="0.25">
      <c r="M86" s="30"/>
    </row>
    <row r="87" spans="13:13" x14ac:dyDescent="0.25">
      <c r="M87" s="30"/>
    </row>
    <row r="88" spans="13:13" x14ac:dyDescent="0.25">
      <c r="M88" s="30"/>
    </row>
    <row r="89" spans="13:13" x14ac:dyDescent="0.25">
      <c r="M89" s="30"/>
    </row>
    <row r="90" spans="13:13" x14ac:dyDescent="0.25">
      <c r="M90" s="30"/>
    </row>
    <row r="91" spans="13:13" x14ac:dyDescent="0.25">
      <c r="M91" s="30"/>
    </row>
    <row r="92" spans="13:13" x14ac:dyDescent="0.25">
      <c r="M92" s="30"/>
    </row>
    <row r="93" spans="13:13" x14ac:dyDescent="0.25">
      <c r="M93" s="30"/>
    </row>
    <row r="94" spans="13:13" x14ac:dyDescent="0.25">
      <c r="M94" s="30"/>
    </row>
    <row r="95" spans="13:13" x14ac:dyDescent="0.25">
      <c r="M95" s="30"/>
    </row>
    <row r="96" spans="13:13" x14ac:dyDescent="0.25">
      <c r="M96" s="30"/>
    </row>
    <row r="97" spans="13:13" x14ac:dyDescent="0.25">
      <c r="M97" s="30"/>
    </row>
    <row r="98" spans="13:13" x14ac:dyDescent="0.25">
      <c r="M98" s="30"/>
    </row>
    <row r="99" spans="13:13" x14ac:dyDescent="0.25">
      <c r="M99" s="30"/>
    </row>
    <row r="100" spans="13:13" x14ac:dyDescent="0.25">
      <c r="M100" s="30"/>
    </row>
    <row r="101" spans="13:13" x14ac:dyDescent="0.25">
      <c r="M101" s="30"/>
    </row>
    <row r="102" spans="13:13" x14ac:dyDescent="0.25">
      <c r="M102" s="30"/>
    </row>
    <row r="103" spans="13:13" x14ac:dyDescent="0.25">
      <c r="M103" s="30"/>
    </row>
    <row r="104" spans="13:13" x14ac:dyDescent="0.25">
      <c r="M104" s="30"/>
    </row>
    <row r="105" spans="13:13" x14ac:dyDescent="0.25">
      <c r="M105" s="30"/>
    </row>
    <row r="106" spans="13:13" x14ac:dyDescent="0.25">
      <c r="M106" s="30"/>
    </row>
    <row r="107" spans="13:13" x14ac:dyDescent="0.25">
      <c r="M107" s="30"/>
    </row>
    <row r="108" spans="13:13" x14ac:dyDescent="0.25">
      <c r="M108" s="30"/>
    </row>
    <row r="109" spans="13:13" x14ac:dyDescent="0.25">
      <c r="M109" s="30"/>
    </row>
    <row r="110" spans="13:13" x14ac:dyDescent="0.25">
      <c r="M110" s="30"/>
    </row>
    <row r="111" spans="13:13" x14ac:dyDescent="0.25">
      <c r="M111" s="30"/>
    </row>
    <row r="112" spans="13:13" x14ac:dyDescent="0.25">
      <c r="M112" s="30"/>
    </row>
    <row r="113" spans="13:13" x14ac:dyDescent="0.25">
      <c r="M113" s="30"/>
    </row>
    <row r="114" spans="13:13" x14ac:dyDescent="0.25">
      <c r="M114" s="30"/>
    </row>
    <row r="115" spans="13:13" x14ac:dyDescent="0.25">
      <c r="M115" s="30"/>
    </row>
    <row r="116" spans="13:13" x14ac:dyDescent="0.25">
      <c r="M116" s="30"/>
    </row>
    <row r="117" spans="13:13" x14ac:dyDescent="0.25">
      <c r="M117" s="30"/>
    </row>
    <row r="118" spans="13:13" x14ac:dyDescent="0.25">
      <c r="M118" s="30"/>
    </row>
    <row r="119" spans="13:13" x14ac:dyDescent="0.25">
      <c r="M119" s="30"/>
    </row>
    <row r="120" spans="13:13" x14ac:dyDescent="0.25">
      <c r="M120" s="30"/>
    </row>
    <row r="121" spans="13:13" x14ac:dyDescent="0.25">
      <c r="M121" s="30"/>
    </row>
    <row r="122" spans="13:13" x14ac:dyDescent="0.25">
      <c r="M122" s="30"/>
    </row>
    <row r="123" spans="13:13" x14ac:dyDescent="0.25">
      <c r="M123" s="30"/>
    </row>
    <row r="124" spans="13:13" x14ac:dyDescent="0.25">
      <c r="M124" s="30"/>
    </row>
    <row r="125" spans="13:13" x14ac:dyDescent="0.25">
      <c r="M125" s="30"/>
    </row>
    <row r="126" spans="13:13" x14ac:dyDescent="0.25">
      <c r="M126" s="30"/>
    </row>
    <row r="127" spans="13:13" x14ac:dyDescent="0.25">
      <c r="M127" s="30"/>
    </row>
    <row r="128" spans="13:13" x14ac:dyDescent="0.25">
      <c r="M128" s="30"/>
    </row>
    <row r="129" spans="13:13" x14ac:dyDescent="0.25">
      <c r="M129" s="30"/>
    </row>
    <row r="130" spans="13:13" x14ac:dyDescent="0.25">
      <c r="M130" s="30"/>
    </row>
    <row r="131" spans="13:13" x14ac:dyDescent="0.25">
      <c r="M131" s="30"/>
    </row>
    <row r="132" spans="13:13" x14ac:dyDescent="0.25">
      <c r="M132" s="30"/>
    </row>
    <row r="133" spans="13:13" x14ac:dyDescent="0.25">
      <c r="M133" s="30"/>
    </row>
    <row r="134" spans="13:13" x14ac:dyDescent="0.25">
      <c r="M134" s="30"/>
    </row>
    <row r="135" spans="13:13" x14ac:dyDescent="0.25">
      <c r="M135" s="30"/>
    </row>
    <row r="136" spans="13:13" x14ac:dyDescent="0.25">
      <c r="M136" s="30"/>
    </row>
    <row r="137" spans="13:13" x14ac:dyDescent="0.25">
      <c r="M137" s="30"/>
    </row>
    <row r="138" spans="13:13" x14ac:dyDescent="0.25">
      <c r="M138" s="30"/>
    </row>
    <row r="139" spans="13:13" x14ac:dyDescent="0.25">
      <c r="M139" s="30"/>
    </row>
    <row r="140" spans="13:13" x14ac:dyDescent="0.25">
      <c r="M140" s="30"/>
    </row>
    <row r="141" spans="13:13" x14ac:dyDescent="0.25">
      <c r="M141" s="30"/>
    </row>
    <row r="142" spans="13:13" x14ac:dyDescent="0.25">
      <c r="M142" s="30"/>
    </row>
    <row r="143" spans="13:13" x14ac:dyDescent="0.25">
      <c r="M143" s="30"/>
    </row>
    <row r="144" spans="13:13" x14ac:dyDescent="0.25">
      <c r="M144" s="30"/>
    </row>
    <row r="145" spans="13:13" x14ac:dyDescent="0.25">
      <c r="M145" s="30"/>
    </row>
    <row r="146" spans="13:13" x14ac:dyDescent="0.25">
      <c r="M146" s="30"/>
    </row>
    <row r="147" spans="13:13" x14ac:dyDescent="0.25">
      <c r="M147" s="30"/>
    </row>
    <row r="148" spans="13:13" x14ac:dyDescent="0.25">
      <c r="M148" s="30"/>
    </row>
    <row r="149" spans="13:13" x14ac:dyDescent="0.25">
      <c r="M149" s="30"/>
    </row>
    <row r="150" spans="13:13" x14ac:dyDescent="0.25">
      <c r="M150" s="30"/>
    </row>
    <row r="151" spans="13:13" x14ac:dyDescent="0.25">
      <c r="M151" s="30"/>
    </row>
    <row r="152" spans="13:13" x14ac:dyDescent="0.25">
      <c r="M152" s="30"/>
    </row>
    <row r="153" spans="13:13" x14ac:dyDescent="0.25">
      <c r="M153" s="30"/>
    </row>
    <row r="154" spans="13:13" x14ac:dyDescent="0.25">
      <c r="M154" s="30"/>
    </row>
    <row r="155" spans="13:13" x14ac:dyDescent="0.25">
      <c r="M155" s="30"/>
    </row>
    <row r="156" spans="13:13" x14ac:dyDescent="0.25">
      <c r="M156" s="30"/>
    </row>
    <row r="157" spans="13:13" x14ac:dyDescent="0.25">
      <c r="M157" s="30"/>
    </row>
    <row r="158" spans="13:13" x14ac:dyDescent="0.25">
      <c r="M158" s="30"/>
    </row>
    <row r="159" spans="13:13" x14ac:dyDescent="0.25">
      <c r="M159" s="30"/>
    </row>
    <row r="160" spans="13:13" x14ac:dyDescent="0.25">
      <c r="M160" s="30"/>
    </row>
    <row r="161" spans="13:13" x14ac:dyDescent="0.25">
      <c r="M161" s="30"/>
    </row>
    <row r="162" spans="13:13" x14ac:dyDescent="0.25">
      <c r="M162" s="30"/>
    </row>
    <row r="163" spans="13:13" x14ac:dyDescent="0.25">
      <c r="M163" s="30"/>
    </row>
    <row r="164" spans="13:13" x14ac:dyDescent="0.25">
      <c r="M164" s="30"/>
    </row>
    <row r="165" spans="13:13" x14ac:dyDescent="0.25">
      <c r="M165" s="30"/>
    </row>
    <row r="166" spans="13:13" x14ac:dyDescent="0.25">
      <c r="M166" s="30"/>
    </row>
    <row r="167" spans="13:13" x14ac:dyDescent="0.25">
      <c r="M167" s="30"/>
    </row>
    <row r="168" spans="13:13" x14ac:dyDescent="0.25">
      <c r="M168" s="30"/>
    </row>
    <row r="169" spans="13:13" x14ac:dyDescent="0.25">
      <c r="M169" s="30"/>
    </row>
    <row r="170" spans="13:13" x14ac:dyDescent="0.25">
      <c r="M170" s="30"/>
    </row>
    <row r="171" spans="13:13" x14ac:dyDescent="0.25">
      <c r="M171" s="30"/>
    </row>
    <row r="172" spans="13:13" x14ac:dyDescent="0.25">
      <c r="M172" s="30"/>
    </row>
    <row r="173" spans="13:13" x14ac:dyDescent="0.25">
      <c r="M173" s="30"/>
    </row>
    <row r="174" spans="13:13" x14ac:dyDescent="0.25">
      <c r="M174" s="30"/>
    </row>
    <row r="175" spans="13:13" x14ac:dyDescent="0.25">
      <c r="M175" s="30"/>
    </row>
    <row r="176" spans="13:13" x14ac:dyDescent="0.25">
      <c r="M176" s="30"/>
    </row>
    <row r="177" spans="13:13" x14ac:dyDescent="0.25">
      <c r="M177" s="30"/>
    </row>
    <row r="178" spans="13:13" x14ac:dyDescent="0.25">
      <c r="M178" s="30"/>
    </row>
    <row r="179" spans="13:13" x14ac:dyDescent="0.25">
      <c r="M179" s="30"/>
    </row>
    <row r="180" spans="13:13" x14ac:dyDescent="0.25">
      <c r="M180" s="30"/>
    </row>
    <row r="181" spans="13:13" x14ac:dyDescent="0.25">
      <c r="M181" s="30"/>
    </row>
    <row r="182" spans="13:13" x14ac:dyDescent="0.25">
      <c r="M182" s="30"/>
    </row>
    <row r="183" spans="13:13" x14ac:dyDescent="0.25">
      <c r="M183" s="30"/>
    </row>
    <row r="184" spans="13:13" x14ac:dyDescent="0.25">
      <c r="M184" s="30"/>
    </row>
    <row r="185" spans="13:13" x14ac:dyDescent="0.25">
      <c r="M185" s="30"/>
    </row>
    <row r="186" spans="13:13" x14ac:dyDescent="0.25">
      <c r="M186" s="30"/>
    </row>
    <row r="187" spans="13:13" x14ac:dyDescent="0.25">
      <c r="M187" s="30"/>
    </row>
    <row r="188" spans="13:13" x14ac:dyDescent="0.25">
      <c r="M188" s="30"/>
    </row>
    <row r="189" spans="13:13" x14ac:dyDescent="0.25">
      <c r="M189" s="30"/>
    </row>
    <row r="190" spans="13:13" x14ac:dyDescent="0.25">
      <c r="M190" s="30"/>
    </row>
    <row r="191" spans="13:13" x14ac:dyDescent="0.25">
      <c r="M191" s="30"/>
    </row>
    <row r="192" spans="13:13" x14ac:dyDescent="0.25">
      <c r="M192" s="30"/>
    </row>
    <row r="193" spans="13:13" x14ac:dyDescent="0.25">
      <c r="M193" s="30"/>
    </row>
    <row r="194" spans="13:13" x14ac:dyDescent="0.25">
      <c r="M194" s="30"/>
    </row>
    <row r="195" spans="13:13" x14ac:dyDescent="0.25">
      <c r="M195" s="30"/>
    </row>
    <row r="196" spans="13:13" x14ac:dyDescent="0.25">
      <c r="M196" s="30"/>
    </row>
    <row r="197" spans="13:13" x14ac:dyDescent="0.25">
      <c r="M197" s="30"/>
    </row>
    <row r="198" spans="13:13" x14ac:dyDescent="0.25">
      <c r="M198" s="30"/>
    </row>
    <row r="199" spans="13:13" x14ac:dyDescent="0.25">
      <c r="M199" s="30"/>
    </row>
    <row r="200" spans="13:13" x14ac:dyDescent="0.25">
      <c r="M200" s="30"/>
    </row>
    <row r="201" spans="13:13" x14ac:dyDescent="0.25">
      <c r="M201" s="30"/>
    </row>
    <row r="202" spans="13:13" x14ac:dyDescent="0.25">
      <c r="M202" s="30"/>
    </row>
    <row r="203" spans="13:13" x14ac:dyDescent="0.25">
      <c r="M203" s="30"/>
    </row>
    <row r="204" spans="13:13" x14ac:dyDescent="0.25">
      <c r="M204" s="30"/>
    </row>
    <row r="205" spans="13:13" x14ac:dyDescent="0.25">
      <c r="M205" s="30"/>
    </row>
    <row r="206" spans="13:13" x14ac:dyDescent="0.25">
      <c r="M206" s="30"/>
    </row>
    <row r="207" spans="13:13" x14ac:dyDescent="0.25">
      <c r="M207" s="30"/>
    </row>
    <row r="208" spans="13:13" x14ac:dyDescent="0.25">
      <c r="M208" s="30"/>
    </row>
    <row r="209" spans="13:13" x14ac:dyDescent="0.25">
      <c r="M209" s="30"/>
    </row>
    <row r="210" spans="13:13" x14ac:dyDescent="0.25">
      <c r="M210" s="30"/>
    </row>
    <row r="211" spans="13:13" x14ac:dyDescent="0.25">
      <c r="M211" s="30"/>
    </row>
    <row r="212" spans="13:13" x14ac:dyDescent="0.25">
      <c r="M212" s="30"/>
    </row>
    <row r="213" spans="13:13" x14ac:dyDescent="0.25">
      <c r="M213" s="30"/>
    </row>
    <row r="214" spans="13:13" x14ac:dyDescent="0.25">
      <c r="M214" s="30"/>
    </row>
    <row r="215" spans="13:13" x14ac:dyDescent="0.25">
      <c r="M215" s="30"/>
    </row>
    <row r="216" spans="13:13" x14ac:dyDescent="0.25">
      <c r="M216" s="30"/>
    </row>
    <row r="217" spans="13:13" x14ac:dyDescent="0.25">
      <c r="M217" s="30"/>
    </row>
    <row r="218" spans="13:13" x14ac:dyDescent="0.25">
      <c r="M218" s="30"/>
    </row>
    <row r="219" spans="13:13" x14ac:dyDescent="0.25">
      <c r="M219" s="30"/>
    </row>
    <row r="220" spans="13:13" x14ac:dyDescent="0.25">
      <c r="M220" s="30"/>
    </row>
    <row r="221" spans="13:13" x14ac:dyDescent="0.25">
      <c r="M221" s="30"/>
    </row>
    <row r="222" spans="13:13" x14ac:dyDescent="0.25">
      <c r="M222" s="30"/>
    </row>
    <row r="223" spans="13:13" x14ac:dyDescent="0.25">
      <c r="M223" s="30"/>
    </row>
    <row r="224" spans="13:13" x14ac:dyDescent="0.25">
      <c r="M224" s="30"/>
    </row>
    <row r="225" spans="13:13" x14ac:dyDescent="0.25">
      <c r="M225" s="30"/>
    </row>
    <row r="226" spans="13:13" x14ac:dyDescent="0.25">
      <c r="M226" s="30"/>
    </row>
    <row r="227" spans="13:13" x14ac:dyDescent="0.25">
      <c r="M227" s="30"/>
    </row>
    <row r="228" spans="13:13" x14ac:dyDescent="0.25">
      <c r="M228" s="30"/>
    </row>
    <row r="229" spans="13:13" x14ac:dyDescent="0.25">
      <c r="M229" s="30"/>
    </row>
    <row r="230" spans="13:13" x14ac:dyDescent="0.25">
      <c r="M230" s="30"/>
    </row>
    <row r="231" spans="13:13" x14ac:dyDescent="0.25">
      <c r="M231" s="30"/>
    </row>
    <row r="232" spans="13:13" x14ac:dyDescent="0.25">
      <c r="M232" s="30"/>
    </row>
    <row r="233" spans="13:13" x14ac:dyDescent="0.25">
      <c r="M233" s="30"/>
    </row>
    <row r="234" spans="13:13" x14ac:dyDescent="0.25">
      <c r="M234" s="30"/>
    </row>
    <row r="235" spans="13:13" x14ac:dyDescent="0.25">
      <c r="M235" s="30"/>
    </row>
    <row r="236" spans="13:13" x14ac:dyDescent="0.25">
      <c r="M236" s="30"/>
    </row>
    <row r="237" spans="13:13" x14ac:dyDescent="0.25">
      <c r="M237" s="30"/>
    </row>
    <row r="238" spans="13:13" x14ac:dyDescent="0.25">
      <c r="M238" s="30"/>
    </row>
    <row r="239" spans="13:13" x14ac:dyDescent="0.25">
      <c r="M239" s="30"/>
    </row>
    <row r="240" spans="13:13" x14ac:dyDescent="0.25">
      <c r="M240" s="30"/>
    </row>
    <row r="241" spans="13:13" x14ac:dyDescent="0.25">
      <c r="M241" s="30"/>
    </row>
    <row r="242" spans="13:13" x14ac:dyDescent="0.25">
      <c r="M242" s="30"/>
    </row>
    <row r="243" spans="13:13" x14ac:dyDescent="0.25">
      <c r="M243" s="30"/>
    </row>
    <row r="244" spans="13:13" x14ac:dyDescent="0.25">
      <c r="M244" s="30"/>
    </row>
    <row r="245" spans="13:13" x14ac:dyDescent="0.25">
      <c r="M245" s="30"/>
    </row>
    <row r="246" spans="13:13" x14ac:dyDescent="0.25">
      <c r="M246" s="30"/>
    </row>
    <row r="247" spans="13:13" x14ac:dyDescent="0.25">
      <c r="M247" s="30"/>
    </row>
    <row r="248" spans="13:13" x14ac:dyDescent="0.25">
      <c r="M248" s="30"/>
    </row>
    <row r="249" spans="13:13" x14ac:dyDescent="0.25">
      <c r="M249" s="30"/>
    </row>
    <row r="250" spans="13:13" x14ac:dyDescent="0.25">
      <c r="M250" s="30"/>
    </row>
    <row r="251" spans="13:13" x14ac:dyDescent="0.25">
      <c r="M251" s="30"/>
    </row>
    <row r="252" spans="13:13" x14ac:dyDescent="0.25">
      <c r="M252" s="30"/>
    </row>
    <row r="253" spans="13:13" x14ac:dyDescent="0.25">
      <c r="M253" s="30"/>
    </row>
    <row r="254" spans="13:13" x14ac:dyDescent="0.25">
      <c r="M254" s="30"/>
    </row>
    <row r="255" spans="13:13" x14ac:dyDescent="0.25">
      <c r="M255" s="30"/>
    </row>
    <row r="256" spans="13:13" x14ac:dyDescent="0.25">
      <c r="M256" s="30"/>
    </row>
    <row r="257" spans="13:13" x14ac:dyDescent="0.25">
      <c r="M257" s="30"/>
    </row>
    <row r="258" spans="13:13" x14ac:dyDescent="0.25">
      <c r="M258" s="30"/>
    </row>
    <row r="259" spans="13:13" x14ac:dyDescent="0.25">
      <c r="M259" s="30"/>
    </row>
    <row r="260" spans="13:13" x14ac:dyDescent="0.25">
      <c r="M260" s="30"/>
    </row>
    <row r="261" spans="13:13" x14ac:dyDescent="0.25">
      <c r="M261" s="30"/>
    </row>
    <row r="262" spans="13:13" x14ac:dyDescent="0.25">
      <c r="M262" s="30"/>
    </row>
    <row r="263" spans="13:13" x14ac:dyDescent="0.25">
      <c r="M263" s="30"/>
    </row>
    <row r="264" spans="13:13" x14ac:dyDescent="0.25">
      <c r="M264" s="30"/>
    </row>
    <row r="265" spans="13:13" x14ac:dyDescent="0.25">
      <c r="M265" s="30"/>
    </row>
    <row r="266" spans="13:13" x14ac:dyDescent="0.25">
      <c r="M266" s="30"/>
    </row>
    <row r="267" spans="13:13" x14ac:dyDescent="0.25">
      <c r="M267" s="30"/>
    </row>
    <row r="268" spans="13:13" x14ac:dyDescent="0.25">
      <c r="M268" s="30"/>
    </row>
    <row r="269" spans="13:13" x14ac:dyDescent="0.25">
      <c r="M269" s="30"/>
    </row>
    <row r="270" spans="13:13" x14ac:dyDescent="0.25">
      <c r="M270" s="30"/>
    </row>
    <row r="271" spans="13:13" x14ac:dyDescent="0.25">
      <c r="M271" s="30"/>
    </row>
    <row r="272" spans="13:13" x14ac:dyDescent="0.25">
      <c r="M272" s="30"/>
    </row>
    <row r="273" spans="13:13" x14ac:dyDescent="0.25">
      <c r="M273" s="30"/>
    </row>
    <row r="274" spans="13:13" x14ac:dyDescent="0.25">
      <c r="M274" s="30"/>
    </row>
    <row r="275" spans="13:13" x14ac:dyDescent="0.25">
      <c r="M275" s="30"/>
    </row>
    <row r="276" spans="13:13" x14ac:dyDescent="0.25">
      <c r="M276" s="30"/>
    </row>
    <row r="277" spans="13:13" x14ac:dyDescent="0.25">
      <c r="M277" s="30"/>
    </row>
    <row r="278" spans="13:13" x14ac:dyDescent="0.25">
      <c r="M278" s="30"/>
    </row>
    <row r="279" spans="13:13" x14ac:dyDescent="0.25">
      <c r="M279" s="30"/>
    </row>
    <row r="280" spans="13:13" x14ac:dyDescent="0.25">
      <c r="M280" s="30"/>
    </row>
    <row r="281" spans="13:13" x14ac:dyDescent="0.25">
      <c r="M281" s="30"/>
    </row>
    <row r="282" spans="13:13" x14ac:dyDescent="0.25">
      <c r="M282" s="30"/>
    </row>
    <row r="283" spans="13:13" x14ac:dyDescent="0.25">
      <c r="M283" s="30"/>
    </row>
    <row r="284" spans="13:13" x14ac:dyDescent="0.25">
      <c r="M284" s="30"/>
    </row>
    <row r="285" spans="13:13" x14ac:dyDescent="0.25">
      <c r="M285" s="30"/>
    </row>
    <row r="286" spans="13:13" x14ac:dyDescent="0.25">
      <c r="M286" s="30"/>
    </row>
    <row r="287" spans="13:13" x14ac:dyDescent="0.25">
      <c r="M287" s="30"/>
    </row>
    <row r="288" spans="13:13" x14ac:dyDescent="0.25">
      <c r="M288" s="30"/>
    </row>
    <row r="289" spans="13:13" x14ac:dyDescent="0.25">
      <c r="M289" s="30"/>
    </row>
    <row r="290" spans="13:13" x14ac:dyDescent="0.25">
      <c r="M290" s="30"/>
    </row>
    <row r="291" spans="13:13" x14ac:dyDescent="0.25">
      <c r="M291" s="30"/>
    </row>
    <row r="292" spans="13:13" x14ac:dyDescent="0.25">
      <c r="M292" s="30"/>
    </row>
    <row r="293" spans="13:13" x14ac:dyDescent="0.25">
      <c r="M293" s="30"/>
    </row>
    <row r="294" spans="13:13" x14ac:dyDescent="0.25">
      <c r="M294" s="30"/>
    </row>
    <row r="295" spans="13:13" x14ac:dyDescent="0.25">
      <c r="M295" s="30"/>
    </row>
    <row r="296" spans="13:13" x14ac:dyDescent="0.25">
      <c r="M296" s="30"/>
    </row>
    <row r="297" spans="13:13" x14ac:dyDescent="0.25">
      <c r="M297" s="30"/>
    </row>
    <row r="298" spans="13:13" x14ac:dyDescent="0.25">
      <c r="M298" s="30"/>
    </row>
    <row r="299" spans="13:13" x14ac:dyDescent="0.25">
      <c r="M299" s="30"/>
    </row>
    <row r="300" spans="13:13" x14ac:dyDescent="0.25">
      <c r="M300" s="30"/>
    </row>
    <row r="301" spans="13:13" x14ac:dyDescent="0.25">
      <c r="M301" s="30"/>
    </row>
    <row r="302" spans="13:13" x14ac:dyDescent="0.25">
      <c r="M302" s="30"/>
    </row>
    <row r="303" spans="13:13" x14ac:dyDescent="0.25">
      <c r="M303" s="30"/>
    </row>
    <row r="304" spans="13:13" x14ac:dyDescent="0.25">
      <c r="M304" s="30"/>
    </row>
    <row r="305" spans="13:13" x14ac:dyDescent="0.25">
      <c r="M305" s="30"/>
    </row>
    <row r="306" spans="13:13" x14ac:dyDescent="0.25">
      <c r="M306" s="30"/>
    </row>
    <row r="307" spans="13:13" x14ac:dyDescent="0.25">
      <c r="M307" s="30"/>
    </row>
    <row r="308" spans="13:13" x14ac:dyDescent="0.25">
      <c r="M308" s="30"/>
    </row>
    <row r="309" spans="13:13" x14ac:dyDescent="0.25">
      <c r="M309" s="30"/>
    </row>
    <row r="310" spans="13:13" x14ac:dyDescent="0.25">
      <c r="M310" s="30"/>
    </row>
    <row r="311" spans="13:13" x14ac:dyDescent="0.25">
      <c r="M311" s="30"/>
    </row>
    <row r="312" spans="13:13" x14ac:dyDescent="0.25">
      <c r="M312" s="30"/>
    </row>
    <row r="313" spans="13:13" x14ac:dyDescent="0.25">
      <c r="M313" s="30"/>
    </row>
    <row r="314" spans="13:13" x14ac:dyDescent="0.25">
      <c r="M314" s="30"/>
    </row>
    <row r="315" spans="13:13" x14ac:dyDescent="0.25">
      <c r="M315" s="30"/>
    </row>
    <row r="316" spans="13:13" x14ac:dyDescent="0.25">
      <c r="M316" s="30"/>
    </row>
    <row r="317" spans="13:13" x14ac:dyDescent="0.25">
      <c r="M317" s="30"/>
    </row>
    <row r="318" spans="13:13" x14ac:dyDescent="0.25">
      <c r="M318" s="30"/>
    </row>
    <row r="319" spans="13:13" x14ac:dyDescent="0.25">
      <c r="M319" s="30"/>
    </row>
    <row r="320" spans="13:13" x14ac:dyDescent="0.25">
      <c r="M320" s="30"/>
    </row>
    <row r="321" spans="13:13" x14ac:dyDescent="0.25">
      <c r="M321" s="30"/>
    </row>
    <row r="322" spans="13:13" x14ac:dyDescent="0.25">
      <c r="M322" s="30"/>
    </row>
    <row r="323" spans="13:13" x14ac:dyDescent="0.25">
      <c r="M323" s="30"/>
    </row>
    <row r="324" spans="13:13" x14ac:dyDescent="0.25">
      <c r="M324" s="30"/>
    </row>
    <row r="325" spans="13:13" x14ac:dyDescent="0.25">
      <c r="M325" s="30"/>
    </row>
    <row r="326" spans="13:13" x14ac:dyDescent="0.25">
      <c r="M326" s="30"/>
    </row>
    <row r="327" spans="13:13" x14ac:dyDescent="0.25">
      <c r="M327" s="30"/>
    </row>
    <row r="328" spans="13:13" x14ac:dyDescent="0.25">
      <c r="M328" s="30"/>
    </row>
    <row r="329" spans="13:13" x14ac:dyDescent="0.25">
      <c r="M329" s="30"/>
    </row>
    <row r="330" spans="13:13" x14ac:dyDescent="0.25">
      <c r="M330" s="30"/>
    </row>
    <row r="331" spans="13:13" x14ac:dyDescent="0.25">
      <c r="M331" s="30"/>
    </row>
    <row r="332" spans="13:13" x14ac:dyDescent="0.25">
      <c r="M332" s="30"/>
    </row>
    <row r="333" spans="13:13" x14ac:dyDescent="0.25">
      <c r="M333" s="30"/>
    </row>
    <row r="334" spans="13:13" x14ac:dyDescent="0.25">
      <c r="M334" s="30"/>
    </row>
    <row r="335" spans="13:13" x14ac:dyDescent="0.25">
      <c r="M335" s="30"/>
    </row>
    <row r="336" spans="13:13" x14ac:dyDescent="0.25">
      <c r="M336" s="30"/>
    </row>
    <row r="337" spans="13:13" x14ac:dyDescent="0.25">
      <c r="M337" s="30"/>
    </row>
    <row r="338" spans="13:13" x14ac:dyDescent="0.25">
      <c r="M338" s="30"/>
    </row>
    <row r="339" spans="13:13" x14ac:dyDescent="0.25">
      <c r="M339" s="30"/>
    </row>
    <row r="340" spans="13:13" x14ac:dyDescent="0.25">
      <c r="M340" s="30"/>
    </row>
    <row r="341" spans="13:13" x14ac:dyDescent="0.25">
      <c r="M341" s="30"/>
    </row>
    <row r="342" spans="13:13" x14ac:dyDescent="0.25">
      <c r="M342" s="30"/>
    </row>
    <row r="343" spans="13:13" x14ac:dyDescent="0.25">
      <c r="M343" s="30"/>
    </row>
    <row r="344" spans="13:13" x14ac:dyDescent="0.25">
      <c r="M344" s="30"/>
    </row>
    <row r="345" spans="13:13" x14ac:dyDescent="0.25">
      <c r="M345" s="30"/>
    </row>
    <row r="346" spans="13:13" x14ac:dyDescent="0.25">
      <c r="M346" s="30"/>
    </row>
    <row r="347" spans="13:13" x14ac:dyDescent="0.25">
      <c r="M347" s="30"/>
    </row>
    <row r="348" spans="13:13" x14ac:dyDescent="0.25">
      <c r="M348" s="30"/>
    </row>
    <row r="349" spans="13:13" x14ac:dyDescent="0.25">
      <c r="M349" s="30"/>
    </row>
    <row r="350" spans="13:13" x14ac:dyDescent="0.25">
      <c r="M350" s="30"/>
    </row>
    <row r="351" spans="13:13" x14ac:dyDescent="0.25">
      <c r="M351" s="30"/>
    </row>
    <row r="352" spans="13:13" x14ac:dyDescent="0.25">
      <c r="M352" s="30"/>
    </row>
    <row r="353" spans="13:13" x14ac:dyDescent="0.25">
      <c r="M353" s="30"/>
    </row>
    <row r="354" spans="13:13" x14ac:dyDescent="0.25">
      <c r="M354" s="30"/>
    </row>
    <row r="355" spans="13:13" x14ac:dyDescent="0.25">
      <c r="M355" s="30"/>
    </row>
    <row r="356" spans="13:13" x14ac:dyDescent="0.25">
      <c r="M356" s="30"/>
    </row>
    <row r="357" spans="13:13" x14ac:dyDescent="0.25">
      <c r="M357" s="30"/>
    </row>
    <row r="358" spans="13:13" x14ac:dyDescent="0.25">
      <c r="M358" s="30"/>
    </row>
    <row r="359" spans="13:13" x14ac:dyDescent="0.25">
      <c r="M359" s="30"/>
    </row>
    <row r="360" spans="13:13" x14ac:dyDescent="0.25">
      <c r="M360" s="30"/>
    </row>
    <row r="361" spans="13:13" x14ac:dyDescent="0.25">
      <c r="M361" s="30"/>
    </row>
    <row r="362" spans="13:13" x14ac:dyDescent="0.25">
      <c r="M362" s="30"/>
    </row>
    <row r="363" spans="13:13" x14ac:dyDescent="0.25">
      <c r="M363" s="30"/>
    </row>
    <row r="364" spans="13:13" x14ac:dyDescent="0.25">
      <c r="M364" s="30"/>
    </row>
    <row r="365" spans="13:13" x14ac:dyDescent="0.25">
      <c r="M365" s="30"/>
    </row>
    <row r="366" spans="13:13" x14ac:dyDescent="0.25">
      <c r="M366" s="30"/>
    </row>
    <row r="367" spans="13:13" x14ac:dyDescent="0.25">
      <c r="M367" s="30"/>
    </row>
    <row r="368" spans="13:13" x14ac:dyDescent="0.25">
      <c r="M368" s="30"/>
    </row>
    <row r="369" spans="13:13" x14ac:dyDescent="0.25">
      <c r="M369" s="30"/>
    </row>
    <row r="370" spans="13:13" x14ac:dyDescent="0.25">
      <c r="M370" s="30"/>
    </row>
    <row r="371" spans="13:13" x14ac:dyDescent="0.25">
      <c r="M371" s="30"/>
    </row>
    <row r="372" spans="13:13" x14ac:dyDescent="0.25">
      <c r="M372" s="30"/>
    </row>
    <row r="373" spans="13:13" x14ac:dyDescent="0.25">
      <c r="M373" s="30"/>
    </row>
    <row r="374" spans="13:13" x14ac:dyDescent="0.25">
      <c r="M374" s="30"/>
    </row>
    <row r="375" spans="13:13" x14ac:dyDescent="0.25">
      <c r="M375" s="30"/>
    </row>
    <row r="376" spans="13:13" x14ac:dyDescent="0.25">
      <c r="M376" s="30"/>
    </row>
    <row r="377" spans="13:13" x14ac:dyDescent="0.25">
      <c r="M377" s="30"/>
    </row>
    <row r="378" spans="13:13" x14ac:dyDescent="0.25">
      <c r="M378" s="30"/>
    </row>
    <row r="379" spans="13:13" x14ac:dyDescent="0.25">
      <c r="M379" s="30"/>
    </row>
    <row r="380" spans="13:13" x14ac:dyDescent="0.25">
      <c r="M380" s="30"/>
    </row>
    <row r="381" spans="13:13" x14ac:dyDescent="0.25">
      <c r="M381" s="30"/>
    </row>
    <row r="382" spans="13:13" x14ac:dyDescent="0.25">
      <c r="M382" s="30"/>
    </row>
    <row r="383" spans="13:13" x14ac:dyDescent="0.25">
      <c r="M383" s="30"/>
    </row>
    <row r="384" spans="13:13" x14ac:dyDescent="0.25">
      <c r="M384" s="30"/>
    </row>
    <row r="385" spans="13:13" x14ac:dyDescent="0.25">
      <c r="M385" s="30"/>
    </row>
    <row r="386" spans="13:13" x14ac:dyDescent="0.25">
      <c r="M386" s="30"/>
    </row>
    <row r="387" spans="13:13" x14ac:dyDescent="0.25">
      <c r="M387" s="30"/>
    </row>
    <row r="388" spans="13:13" x14ac:dyDescent="0.25">
      <c r="M388" s="30"/>
    </row>
    <row r="389" spans="13:13" x14ac:dyDescent="0.25">
      <c r="M389" s="30"/>
    </row>
    <row r="390" spans="13:13" x14ac:dyDescent="0.25">
      <c r="M390" s="30"/>
    </row>
    <row r="391" spans="13:13" x14ac:dyDescent="0.25">
      <c r="M391" s="30"/>
    </row>
    <row r="392" spans="13:13" x14ac:dyDescent="0.25">
      <c r="M392" s="30"/>
    </row>
    <row r="393" spans="13:13" x14ac:dyDescent="0.25">
      <c r="M393" s="30"/>
    </row>
    <row r="394" spans="13:13" x14ac:dyDescent="0.25">
      <c r="M394" s="30"/>
    </row>
    <row r="395" spans="13:13" x14ac:dyDescent="0.25">
      <c r="M395" s="30"/>
    </row>
    <row r="396" spans="13:13" x14ac:dyDescent="0.25">
      <c r="M396" s="30"/>
    </row>
    <row r="397" spans="13:13" x14ac:dyDescent="0.25">
      <c r="M397" s="30"/>
    </row>
    <row r="398" spans="13:13" x14ac:dyDescent="0.25">
      <c r="M398" s="30"/>
    </row>
    <row r="399" spans="13:13" x14ac:dyDescent="0.25">
      <c r="M399" s="30"/>
    </row>
    <row r="400" spans="13:13" x14ac:dyDescent="0.25">
      <c r="M400" s="30"/>
    </row>
    <row r="401" spans="13:13" x14ac:dyDescent="0.25">
      <c r="M401" s="30"/>
    </row>
    <row r="402" spans="13:13" x14ac:dyDescent="0.25">
      <c r="M402" s="30"/>
    </row>
    <row r="403" spans="13:13" x14ac:dyDescent="0.25">
      <c r="M403" s="30"/>
    </row>
    <row r="404" spans="13:13" x14ac:dyDescent="0.25">
      <c r="M404" s="30"/>
    </row>
    <row r="405" spans="13:13" x14ac:dyDescent="0.25">
      <c r="M405" s="30"/>
    </row>
    <row r="406" spans="13:13" x14ac:dyDescent="0.25">
      <c r="M406" s="30"/>
    </row>
    <row r="407" spans="13:13" x14ac:dyDescent="0.25">
      <c r="M407" s="30"/>
    </row>
    <row r="408" spans="13:13" x14ac:dyDescent="0.25">
      <c r="M408" s="30"/>
    </row>
    <row r="409" spans="13:13" x14ac:dyDescent="0.25">
      <c r="M409" s="30"/>
    </row>
    <row r="410" spans="13:13" x14ac:dyDescent="0.25">
      <c r="M410" s="30"/>
    </row>
    <row r="411" spans="13:13" x14ac:dyDescent="0.25">
      <c r="M411" s="30"/>
    </row>
    <row r="412" spans="13:13" x14ac:dyDescent="0.25">
      <c r="M412" s="30"/>
    </row>
    <row r="413" spans="13:13" x14ac:dyDescent="0.25">
      <c r="M413" s="30"/>
    </row>
    <row r="414" spans="13:13" x14ac:dyDescent="0.25">
      <c r="M414" s="30"/>
    </row>
    <row r="415" spans="13:13" x14ac:dyDescent="0.25">
      <c r="M415" s="30"/>
    </row>
    <row r="416" spans="13:13" x14ac:dyDescent="0.25">
      <c r="M416" s="30"/>
    </row>
    <row r="417" spans="13:13" x14ac:dyDescent="0.25">
      <c r="M417" s="30"/>
    </row>
    <row r="418" spans="13:13" x14ac:dyDescent="0.25">
      <c r="M418" s="30"/>
    </row>
    <row r="419" spans="13:13" x14ac:dyDescent="0.25">
      <c r="M419" s="30"/>
    </row>
    <row r="420" spans="13:13" x14ac:dyDescent="0.25">
      <c r="M420" s="30"/>
    </row>
    <row r="421" spans="13:13" x14ac:dyDescent="0.25">
      <c r="M421" s="30"/>
    </row>
    <row r="422" spans="13:13" x14ac:dyDescent="0.25">
      <c r="M422" s="30"/>
    </row>
    <row r="423" spans="13:13" x14ac:dyDescent="0.25">
      <c r="M423" s="30"/>
    </row>
    <row r="424" spans="13:13" x14ac:dyDescent="0.25">
      <c r="M424" s="30"/>
    </row>
    <row r="425" spans="13:13" x14ac:dyDescent="0.25">
      <c r="M425" s="30"/>
    </row>
    <row r="426" spans="13:13" x14ac:dyDescent="0.25">
      <c r="M426" s="30"/>
    </row>
    <row r="427" spans="13:13" x14ac:dyDescent="0.25">
      <c r="M427" s="30"/>
    </row>
    <row r="428" spans="13:13" x14ac:dyDescent="0.25">
      <c r="M428" s="30"/>
    </row>
    <row r="429" spans="13:13" x14ac:dyDescent="0.25">
      <c r="M429" s="30"/>
    </row>
    <row r="430" spans="13:13" x14ac:dyDescent="0.25">
      <c r="M430" s="30"/>
    </row>
    <row r="431" spans="13:13" x14ac:dyDescent="0.25">
      <c r="M431" s="30"/>
    </row>
    <row r="432" spans="13:13" x14ac:dyDescent="0.25">
      <c r="M432" s="30"/>
    </row>
    <row r="433" spans="13:13" x14ac:dyDescent="0.25">
      <c r="M433" s="30"/>
    </row>
    <row r="434" spans="13:13" x14ac:dyDescent="0.25">
      <c r="M434" s="30"/>
    </row>
    <row r="435" spans="13:13" x14ac:dyDescent="0.25">
      <c r="M435" s="30"/>
    </row>
    <row r="436" spans="13:13" x14ac:dyDescent="0.25">
      <c r="M436" s="30"/>
    </row>
    <row r="437" spans="13:13" x14ac:dyDescent="0.25">
      <c r="M437" s="30"/>
    </row>
    <row r="438" spans="13:13" x14ac:dyDescent="0.25">
      <c r="M438" s="30"/>
    </row>
    <row r="439" spans="13:13" x14ac:dyDescent="0.25">
      <c r="M439" s="30"/>
    </row>
    <row r="440" spans="13:13" x14ac:dyDescent="0.25">
      <c r="M440" s="30"/>
    </row>
    <row r="441" spans="13:13" x14ac:dyDescent="0.25">
      <c r="M441" s="30"/>
    </row>
    <row r="442" spans="13:13" x14ac:dyDescent="0.25">
      <c r="M442" s="30"/>
    </row>
    <row r="443" spans="13:13" x14ac:dyDescent="0.25">
      <c r="M443" s="30"/>
    </row>
    <row r="444" spans="13:13" x14ac:dyDescent="0.25">
      <c r="M444" s="30"/>
    </row>
    <row r="445" spans="13:13" x14ac:dyDescent="0.25">
      <c r="M445" s="30"/>
    </row>
    <row r="446" spans="13:13" x14ac:dyDescent="0.25">
      <c r="M446" s="30"/>
    </row>
    <row r="447" spans="13:13" x14ac:dyDescent="0.25">
      <c r="M447" s="30"/>
    </row>
    <row r="448" spans="13:13" x14ac:dyDescent="0.25">
      <c r="M448" s="30"/>
    </row>
    <row r="449" spans="13:13" x14ac:dyDescent="0.25">
      <c r="M449" s="30"/>
    </row>
    <row r="450" spans="13:13" x14ac:dyDescent="0.25">
      <c r="M450" s="30"/>
    </row>
  </sheetData>
  <mergeCells count="34">
    <mergeCell ref="AE5:AH5"/>
    <mergeCell ref="T15:U15"/>
    <mergeCell ref="G4:I4"/>
    <mergeCell ref="G5:H5"/>
    <mergeCell ref="G7:H7"/>
    <mergeCell ref="G6:H6"/>
    <mergeCell ref="AJ5:AL5"/>
    <mergeCell ref="A47:B47"/>
    <mergeCell ref="AB6:AC6"/>
    <mergeCell ref="A29:C29"/>
    <mergeCell ref="AG7:AG8"/>
    <mergeCell ref="AH7:AH8"/>
    <mergeCell ref="A4:A5"/>
    <mergeCell ref="B4:B5"/>
    <mergeCell ref="C4:C5"/>
    <mergeCell ref="D4:D5"/>
    <mergeCell ref="A36:B36"/>
    <mergeCell ref="O4:Q4"/>
    <mergeCell ref="F24:H24"/>
    <mergeCell ref="Y6:Z6"/>
    <mergeCell ref="AE7:AE8"/>
    <mergeCell ref="AF7:AF8"/>
    <mergeCell ref="H47:I47"/>
    <mergeCell ref="O35:Q35"/>
    <mergeCell ref="T46:U46"/>
    <mergeCell ref="AJ10:AK10"/>
    <mergeCell ref="F20:G20"/>
    <mergeCell ref="J18:K18"/>
    <mergeCell ref="J19:K19"/>
    <mergeCell ref="H36:I36"/>
    <mergeCell ref="S47:S48"/>
    <mergeCell ref="T47:U48"/>
    <mergeCell ref="AJ13:AK13"/>
    <mergeCell ref="AJ14:AK14"/>
  </mergeCells>
  <pageMargins left="0.7" right="0.7" top="0.75" bottom="0.75" header="0.3" footer="0.3"/>
  <pageSetup paperSize="9" orientation="landscape"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euil3"/>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4"/>
  <dimension ref="B6:G26"/>
  <sheetViews>
    <sheetView workbookViewId="0">
      <selection activeCell="D15" sqref="D15"/>
    </sheetView>
  </sheetViews>
  <sheetFormatPr baseColWidth="10" defaultRowHeight="15" x14ac:dyDescent="0.25"/>
  <cols>
    <col min="3" max="3" width="15.7109375" customWidth="1"/>
  </cols>
  <sheetData>
    <row r="6" spans="2:7" x14ac:dyDescent="0.25">
      <c r="B6" s="360" t="s">
        <v>116</v>
      </c>
      <c r="C6" s="360"/>
      <c r="D6" s="360" t="s">
        <v>115</v>
      </c>
      <c r="E6" s="360"/>
      <c r="F6" s="360" t="s">
        <v>114</v>
      </c>
      <c r="G6" s="360"/>
    </row>
    <row r="7" spans="2:7" x14ac:dyDescent="0.25">
      <c r="B7" s="360"/>
      <c r="C7" s="360"/>
      <c r="D7" s="360"/>
      <c r="E7" s="360"/>
      <c r="F7" s="360"/>
      <c r="G7" s="360"/>
    </row>
    <row r="8" spans="2:7" x14ac:dyDescent="0.25">
      <c r="B8" s="361">
        <f>RESTAURATION!C11</f>
        <v>200</v>
      </c>
      <c r="C8" s="361"/>
      <c r="D8" s="361">
        <f>IF(RESTAURATION!I6="standard",12,IF(RESTAURATION!I6="Luxe",20,IF(RESTAURATION!I6="rapide",8,IF(RESTAURATION!I6="collective",5,""))))</f>
        <v>12</v>
      </c>
      <c r="E8" s="361"/>
      <c r="F8" s="361">
        <v>50</v>
      </c>
      <c r="G8" s="361"/>
    </row>
    <row r="9" spans="2:7" x14ac:dyDescent="0.25">
      <c r="B9" s="290"/>
      <c r="C9" s="290"/>
      <c r="D9" s="290"/>
      <c r="E9" s="290"/>
      <c r="F9" s="290"/>
      <c r="G9" s="290"/>
    </row>
    <row r="10" spans="2:7" x14ac:dyDescent="0.25">
      <c r="B10" s="290"/>
      <c r="C10" s="290"/>
      <c r="D10" s="290"/>
      <c r="E10" s="290"/>
      <c r="F10" s="290"/>
      <c r="G10" s="290"/>
    </row>
    <row r="11" spans="2:7" x14ac:dyDescent="0.25">
      <c r="B11" s="359" t="s">
        <v>169</v>
      </c>
      <c r="C11" s="359"/>
      <c r="D11" s="290">
        <f>RESTAURATION!C14</f>
        <v>120</v>
      </c>
      <c r="E11" s="290"/>
      <c r="F11" s="290"/>
      <c r="G11" s="290"/>
    </row>
    <row r="12" spans="2:7" x14ac:dyDescent="0.25">
      <c r="B12" s="290"/>
      <c r="C12" s="290"/>
      <c r="D12" s="290"/>
      <c r="E12" s="290"/>
      <c r="F12" s="290"/>
      <c r="G12" s="290"/>
    </row>
    <row r="13" spans="2:7" x14ac:dyDescent="0.25">
      <c r="B13" s="290"/>
      <c r="C13" s="290"/>
      <c r="D13" s="290"/>
      <c r="E13" s="290"/>
      <c r="F13" s="290"/>
      <c r="G13" s="290"/>
    </row>
    <row r="14" spans="2:7" x14ac:dyDescent="0.25">
      <c r="B14" s="290"/>
      <c r="C14" s="290"/>
      <c r="D14" s="290"/>
      <c r="E14" s="290"/>
      <c r="F14" s="290"/>
      <c r="G14" s="290"/>
    </row>
    <row r="15" spans="2:7" ht="26.25" x14ac:dyDescent="0.25">
      <c r="B15" s="290"/>
      <c r="C15" s="289" t="s">
        <v>52</v>
      </c>
      <c r="D15" s="291">
        <f>(B8*D8*F8*(60/D11))/860</f>
        <v>69.767441860465112</v>
      </c>
      <c r="E15" s="290"/>
      <c r="F15" s="290"/>
      <c r="G15" s="290"/>
    </row>
    <row r="16" spans="2:7" x14ac:dyDescent="0.25">
      <c r="B16" s="290"/>
      <c r="C16" s="290"/>
      <c r="D16" s="290"/>
      <c r="E16" s="290"/>
      <c r="F16" s="290"/>
      <c r="G16" s="290"/>
    </row>
    <row r="17" spans="2:7" x14ac:dyDescent="0.25">
      <c r="B17" s="290"/>
      <c r="C17" s="290"/>
      <c r="D17" s="290"/>
      <c r="E17" s="290"/>
      <c r="F17" s="290"/>
      <c r="G17" s="290"/>
    </row>
    <row r="18" spans="2:7" x14ac:dyDescent="0.25">
      <c r="B18" s="290"/>
      <c r="C18" s="290"/>
      <c r="D18" s="290"/>
      <c r="E18" s="290"/>
      <c r="F18" s="290"/>
      <c r="G18" s="290"/>
    </row>
    <row r="19" spans="2:7" x14ac:dyDescent="0.25">
      <c r="B19" s="290"/>
      <c r="C19" s="290"/>
      <c r="D19" s="290"/>
      <c r="E19" s="290"/>
      <c r="F19" s="290"/>
      <c r="G19" s="290"/>
    </row>
    <row r="20" spans="2:7" x14ac:dyDescent="0.25">
      <c r="B20" s="288"/>
      <c r="C20" s="288"/>
      <c r="D20" s="288"/>
      <c r="E20" s="288"/>
      <c r="F20" s="288"/>
      <c r="G20" s="288"/>
    </row>
    <row r="21" spans="2:7" x14ac:dyDescent="0.25">
      <c r="B21" s="288"/>
      <c r="C21" s="288"/>
      <c r="D21" s="288"/>
      <c r="E21" s="288"/>
      <c r="F21" s="288"/>
      <c r="G21" s="288"/>
    </row>
    <row r="22" spans="2:7" x14ac:dyDescent="0.25">
      <c r="B22" s="288"/>
      <c r="C22" s="288"/>
      <c r="D22" s="288"/>
      <c r="E22" s="288"/>
      <c r="F22" s="288"/>
      <c r="G22" s="288"/>
    </row>
    <row r="23" spans="2:7" x14ac:dyDescent="0.25">
      <c r="B23" s="288"/>
      <c r="C23" s="288"/>
      <c r="D23" s="288"/>
      <c r="E23" s="288"/>
      <c r="F23" s="288"/>
      <c r="G23" s="288"/>
    </row>
    <row r="24" spans="2:7" x14ac:dyDescent="0.25">
      <c r="B24" s="288"/>
      <c r="C24" s="288"/>
      <c r="D24" s="288"/>
      <c r="E24" s="288"/>
      <c r="F24" s="288"/>
      <c r="G24" s="288"/>
    </row>
    <row r="25" spans="2:7" x14ac:dyDescent="0.25">
      <c r="B25" s="288"/>
      <c r="C25" s="288"/>
      <c r="D25" s="288"/>
      <c r="E25" s="288"/>
      <c r="F25" s="288"/>
      <c r="G25" s="288"/>
    </row>
    <row r="26" spans="2:7" x14ac:dyDescent="0.25">
      <c r="B26" s="288"/>
      <c r="C26" s="288"/>
      <c r="D26" s="288"/>
      <c r="E26" s="288"/>
      <c r="F26" s="288"/>
      <c r="G26" s="288"/>
    </row>
  </sheetData>
  <mergeCells count="7">
    <mergeCell ref="B11:C11"/>
    <mergeCell ref="B6:C7"/>
    <mergeCell ref="D6:E7"/>
    <mergeCell ref="F6:G7"/>
    <mergeCell ref="B8:C8"/>
    <mergeCell ref="D8:E8"/>
    <mergeCell ref="F8:G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5"/>
  <dimension ref="A1:N56"/>
  <sheetViews>
    <sheetView showGridLines="0" showRowColHeaders="0" showWhiteSpace="0" topLeftCell="A10" zoomScale="110" zoomScaleNormal="90" zoomScalePageLayoutView="90" workbookViewId="0">
      <selection activeCell="C19" sqref="C19"/>
    </sheetView>
  </sheetViews>
  <sheetFormatPr baseColWidth="10" defaultColWidth="11.42578125" defaultRowHeight="12.75" x14ac:dyDescent="0.2"/>
  <cols>
    <col min="1" max="1" width="11.42578125" style="152"/>
    <col min="2" max="2" width="24.42578125" style="152" customWidth="1"/>
    <col min="3" max="3" width="13.7109375" style="152" customWidth="1"/>
    <col min="4" max="5" width="11.42578125" style="152"/>
    <col min="6" max="6" width="20" style="152" customWidth="1"/>
    <col min="7" max="16384" width="11.42578125" style="152"/>
  </cols>
  <sheetData>
    <row r="1" spans="1:14" x14ac:dyDescent="0.2">
      <c r="A1" s="175"/>
      <c r="B1" s="153"/>
      <c r="C1" s="153"/>
      <c r="D1" s="153"/>
      <c r="E1" s="153"/>
      <c r="F1" s="153"/>
      <c r="G1" s="153"/>
      <c r="H1" s="153"/>
      <c r="I1" s="153"/>
      <c r="J1" s="153"/>
      <c r="K1" s="153"/>
      <c r="L1" s="153"/>
      <c r="M1" s="153"/>
      <c r="N1" s="153"/>
    </row>
    <row r="2" spans="1:14" x14ac:dyDescent="0.2">
      <c r="A2" s="175"/>
      <c r="B2" s="153"/>
      <c r="C2" s="153"/>
      <c r="D2" s="153"/>
      <c r="E2" s="153"/>
      <c r="F2" s="153"/>
      <c r="G2" s="153"/>
      <c r="H2" s="153"/>
      <c r="I2" s="153"/>
      <c r="J2" s="153"/>
      <c r="K2" s="153"/>
      <c r="L2" s="153"/>
      <c r="M2" s="153"/>
      <c r="N2" s="153"/>
    </row>
    <row r="3" spans="1:14" x14ac:dyDescent="0.2">
      <c r="A3" s="175"/>
      <c r="B3" s="153"/>
      <c r="C3" s="153"/>
      <c r="D3" s="362" t="s">
        <v>109</v>
      </c>
      <c r="E3" s="362"/>
      <c r="F3" s="153"/>
      <c r="G3" s="153"/>
      <c r="H3" s="153"/>
      <c r="I3" s="153"/>
      <c r="J3" s="153"/>
      <c r="K3" s="153"/>
      <c r="L3" s="153"/>
      <c r="M3" s="153"/>
      <c r="N3" s="153"/>
    </row>
    <row r="4" spans="1:14" x14ac:dyDescent="0.2">
      <c r="A4" s="175"/>
      <c r="B4" s="153"/>
      <c r="C4" s="153"/>
      <c r="D4" s="153"/>
      <c r="E4" s="153"/>
      <c r="F4" s="153"/>
      <c r="G4" s="153"/>
      <c r="H4" s="153"/>
      <c r="I4" s="153"/>
      <c r="J4" s="153"/>
      <c r="K4" s="362"/>
      <c r="L4" s="362"/>
      <c r="M4" s="153"/>
      <c r="N4" s="153"/>
    </row>
    <row r="5" spans="1:14" x14ac:dyDescent="0.2">
      <c r="A5" s="175"/>
      <c r="B5" s="363" t="s">
        <v>79</v>
      </c>
      <c r="C5" s="364"/>
      <c r="D5" s="364"/>
      <c r="E5" s="365" t="s">
        <v>58</v>
      </c>
      <c r="F5" s="366"/>
      <c r="G5" s="153"/>
      <c r="H5" s="153"/>
      <c r="I5" s="153"/>
      <c r="J5" s="153"/>
      <c r="K5" s="153"/>
      <c r="L5" s="153"/>
      <c r="M5" s="153"/>
      <c r="N5" s="153"/>
    </row>
    <row r="6" spans="1:14" x14ac:dyDescent="0.2">
      <c r="B6" s="363" t="s">
        <v>131</v>
      </c>
      <c r="C6" s="355"/>
      <c r="D6" s="355"/>
      <c r="E6" s="365" t="s">
        <v>136</v>
      </c>
      <c r="F6" s="367"/>
      <c r="G6" s="295"/>
      <c r="H6" s="153"/>
      <c r="I6" s="153"/>
      <c r="J6" s="153"/>
      <c r="K6" s="153"/>
      <c r="L6" s="153"/>
      <c r="M6" s="153"/>
      <c r="N6" s="153"/>
    </row>
    <row r="7" spans="1:14" x14ac:dyDescent="0.2">
      <c r="B7" s="363" t="s">
        <v>132</v>
      </c>
      <c r="C7" s="355"/>
      <c r="D7" s="355"/>
      <c r="E7" s="365">
        <v>4</v>
      </c>
      <c r="F7" s="367"/>
      <c r="G7" s="295"/>
      <c r="H7" s="153"/>
      <c r="I7" s="153"/>
      <c r="J7" s="153"/>
      <c r="K7" s="153"/>
      <c r="L7" s="153"/>
      <c r="M7" s="153"/>
      <c r="N7" s="153"/>
    </row>
    <row r="8" spans="1:14" x14ac:dyDescent="0.2">
      <c r="A8" s="175"/>
      <c r="B8" s="153"/>
      <c r="C8" s="153"/>
      <c r="D8" s="153"/>
      <c r="E8" s="234"/>
      <c r="F8" s="153"/>
      <c r="G8" s="295"/>
      <c r="H8" s="153"/>
      <c r="I8" s="153"/>
      <c r="J8" s="153"/>
      <c r="K8" s="153"/>
      <c r="L8" s="153"/>
      <c r="M8" s="153"/>
      <c r="N8" s="153"/>
    </row>
    <row r="9" spans="1:14" x14ac:dyDescent="0.2">
      <c r="A9" s="175"/>
      <c r="B9" s="153"/>
      <c r="C9" s="153"/>
      <c r="D9" s="153"/>
      <c r="E9" s="153"/>
      <c r="F9" s="153"/>
      <c r="G9" s="295"/>
      <c r="H9" s="153"/>
      <c r="I9" s="153"/>
      <c r="J9" s="153"/>
      <c r="K9" s="153"/>
      <c r="L9" s="153"/>
      <c r="M9" s="153"/>
      <c r="N9" s="153"/>
    </row>
    <row r="10" spans="1:14" x14ac:dyDescent="0.2">
      <c r="B10" s="162"/>
      <c r="C10" s="195"/>
      <c r="D10" s="195"/>
      <c r="E10" s="195"/>
      <c r="F10" s="195"/>
      <c r="G10" s="153"/>
      <c r="H10" s="153"/>
      <c r="I10" s="153"/>
      <c r="J10" s="153"/>
      <c r="K10" s="153"/>
      <c r="L10" s="153"/>
      <c r="M10" s="153"/>
      <c r="N10" s="153"/>
    </row>
    <row r="11" spans="1:14" x14ac:dyDescent="0.2">
      <c r="B11" s="162"/>
      <c r="C11" s="369" t="s">
        <v>139</v>
      </c>
      <c r="D11" s="370"/>
      <c r="E11" s="373">
        <v>300</v>
      </c>
      <c r="F11" s="371" t="str">
        <f>IF(E11&lt;10,"Calculs à partir de 10 chambres","")</f>
        <v/>
      </c>
      <c r="G11" s="178"/>
      <c r="H11" s="153"/>
      <c r="I11" s="153"/>
      <c r="J11" s="153"/>
      <c r="K11" s="153"/>
      <c r="L11" s="153"/>
      <c r="M11" s="153"/>
      <c r="N11" s="153"/>
    </row>
    <row r="12" spans="1:14" x14ac:dyDescent="0.2">
      <c r="B12" s="162"/>
      <c r="C12" s="370"/>
      <c r="D12" s="370"/>
      <c r="E12" s="374"/>
      <c r="F12" s="372"/>
      <c r="G12" s="153"/>
      <c r="H12" s="153"/>
      <c r="I12" s="153"/>
      <c r="J12" s="153"/>
      <c r="K12" s="153"/>
      <c r="L12" s="153"/>
      <c r="M12" s="153"/>
      <c r="N12" s="153"/>
    </row>
    <row r="13" spans="1:14" x14ac:dyDescent="0.2">
      <c r="C13" s="194"/>
      <c r="D13" s="194"/>
      <c r="E13" s="194"/>
      <c r="F13" s="194"/>
      <c r="G13" s="153"/>
      <c r="H13" s="153"/>
      <c r="I13" s="153"/>
      <c r="J13" s="153"/>
      <c r="K13" s="153"/>
      <c r="L13" s="153"/>
      <c r="M13" s="153"/>
      <c r="N13" s="153"/>
    </row>
    <row r="14" spans="1:14" x14ac:dyDescent="0.2">
      <c r="C14" s="161"/>
      <c r="D14" s="161"/>
      <c r="E14" s="161"/>
      <c r="F14" s="160"/>
      <c r="G14" s="153"/>
      <c r="H14" s="153"/>
      <c r="I14" s="153"/>
      <c r="J14" s="153"/>
      <c r="K14" s="153"/>
      <c r="L14" s="153"/>
      <c r="M14" s="153"/>
      <c r="N14" s="153"/>
    </row>
    <row r="15" spans="1:14" x14ac:dyDescent="0.2">
      <c r="A15" s="175"/>
      <c r="B15" s="162"/>
      <c r="C15" s="161"/>
      <c r="D15" s="161"/>
      <c r="E15" s="161"/>
      <c r="F15" s="160"/>
      <c r="G15" s="153"/>
      <c r="H15" s="153"/>
      <c r="I15" s="153"/>
      <c r="J15" s="153"/>
      <c r="K15" s="153"/>
      <c r="L15" s="153"/>
      <c r="M15" s="153"/>
      <c r="N15" s="153"/>
    </row>
    <row r="16" spans="1:14" x14ac:dyDescent="0.2">
      <c r="A16" s="175"/>
      <c r="B16" s="162"/>
      <c r="C16" s="161"/>
      <c r="D16" s="161"/>
      <c r="E16" s="161"/>
      <c r="F16" s="160"/>
      <c r="G16" s="153"/>
      <c r="H16" s="153"/>
      <c r="I16" s="153"/>
      <c r="J16" s="153"/>
      <c r="K16" s="153"/>
      <c r="L16" s="153"/>
      <c r="M16" s="153"/>
      <c r="N16" s="153"/>
    </row>
    <row r="17" spans="1:14" x14ac:dyDescent="0.2">
      <c r="A17" s="175"/>
      <c r="B17" s="162"/>
      <c r="C17" s="161"/>
      <c r="D17" s="161"/>
      <c r="E17" s="161"/>
      <c r="F17" s="161"/>
      <c r="G17" s="153"/>
      <c r="H17" s="153"/>
      <c r="I17" s="153"/>
      <c r="J17" s="153"/>
      <c r="K17" s="153"/>
      <c r="L17" s="153"/>
      <c r="M17" s="153"/>
      <c r="N17" s="153"/>
    </row>
    <row r="18" spans="1:14" x14ac:dyDescent="0.2">
      <c r="B18" s="157" t="s">
        <v>64</v>
      </c>
      <c r="C18" s="153"/>
      <c r="D18" s="153"/>
      <c r="E18" s="153"/>
      <c r="F18" s="153"/>
      <c r="G18" s="153"/>
      <c r="H18" s="153"/>
      <c r="I18" s="153"/>
      <c r="J18" s="153"/>
      <c r="K18" s="153"/>
      <c r="L18" s="153"/>
      <c r="M18" s="153"/>
      <c r="N18" s="153"/>
    </row>
    <row r="19" spans="1:14" ht="25.5" x14ac:dyDescent="0.2">
      <c r="B19" s="324" t="str">
        <f>IF(E11&lt;10,"",(IF(OR(E5="Instantanée",E5="Semi Instantanée"),'calcul hotel'!C17,"")))</f>
        <v>Débit 10 min en L Delta T 50°C</v>
      </c>
      <c r="C19" s="325">
        <f>IF(B19="","",'calcul hotel'!D17)</f>
        <v>4087.8769280965653</v>
      </c>
      <c r="D19" s="153"/>
      <c r="E19" s="153"/>
      <c r="F19" s="153"/>
      <c r="G19" s="153"/>
      <c r="H19" s="153"/>
      <c r="I19" s="153"/>
      <c r="J19" s="153"/>
      <c r="K19" s="153"/>
      <c r="L19" s="153"/>
      <c r="M19" s="153"/>
      <c r="N19" s="153"/>
    </row>
    <row r="20" spans="1:14" x14ac:dyDescent="0.2">
      <c r="B20" s="324"/>
      <c r="C20" s="325"/>
      <c r="D20" s="153"/>
      <c r="E20" s="153"/>
      <c r="F20" s="153"/>
      <c r="G20" s="295" t="s">
        <v>172</v>
      </c>
      <c r="H20" s="153"/>
      <c r="I20" s="153"/>
      <c r="J20" s="153"/>
      <c r="K20" s="153"/>
      <c r="L20" s="153"/>
      <c r="M20" s="153"/>
      <c r="N20" s="153"/>
    </row>
    <row r="21" spans="1:14" x14ac:dyDescent="0.2">
      <c r="B21" s="324" t="str">
        <f>IF(E11&lt;10,"",IF(E5="Instantanée","Puissance calculée en kW",IF(E5="Semi Instantanée","Puissance calculée en kW","")))</f>
        <v>Puissance calculée en kW</v>
      </c>
      <c r="C21" s="325" t="str">
        <f>IF(E11&lt;10,"",IF(E5="Instantanée","",IF(E5="Semi Instantanée","ballon tampon ","")))</f>
        <v/>
      </c>
      <c r="D21" s="153"/>
      <c r="E21" s="153"/>
      <c r="F21" s="153"/>
      <c r="G21" s="295"/>
      <c r="H21" s="153"/>
      <c r="I21" s="153"/>
      <c r="J21" s="153"/>
      <c r="K21" s="153"/>
      <c r="L21" s="153"/>
      <c r="M21" s="153"/>
      <c r="N21" s="153"/>
    </row>
    <row r="22" spans="1:14" x14ac:dyDescent="0.2">
      <c r="B22" s="343">
        <f>IF(E11&lt;10,"",IF(E5="Instantanée",'calcul hotel'!D20,IF(E5="Semi Instantanée",'calcul hotel'!N36,"")))</f>
        <v>1430.7569248337979</v>
      </c>
      <c r="C22" s="325" t="str">
        <f>IF(E11&lt;10,"",IF(E5="Instantanée","",IF(E5="Semi Instantanée",'calcul hotel'!L23,"")))</f>
        <v/>
      </c>
      <c r="D22" s="153"/>
      <c r="E22" s="153"/>
      <c r="F22" s="153"/>
      <c r="G22" s="295"/>
      <c r="H22" s="153"/>
      <c r="I22" s="153"/>
      <c r="J22" s="153"/>
      <c r="K22" s="153"/>
      <c r="L22" s="153"/>
      <c r="M22" s="153"/>
      <c r="N22" s="153"/>
    </row>
    <row r="23" spans="1:14" x14ac:dyDescent="0.2">
      <c r="B23" s="343" t="str">
        <f>IF(E11&lt;10,"",IF(E5="Instantanée","",IF(E5="Semi Instantanée",'calcul hotel'!N37,"")))</f>
        <v/>
      </c>
      <c r="C23" s="325" t="str">
        <f>IF(E11&lt;10,"",IF(E5="Instantanée","",IF(E5="Semi Instantanée",'calcul hotel'!L24,"")))</f>
        <v/>
      </c>
      <c r="D23" s="153"/>
      <c r="E23" s="153"/>
      <c r="F23" s="153"/>
      <c r="G23" s="295"/>
      <c r="H23" s="153"/>
      <c r="I23" s="153"/>
      <c r="J23" s="153"/>
      <c r="K23" s="153"/>
      <c r="L23" s="153"/>
      <c r="M23" s="153"/>
      <c r="N23" s="153"/>
    </row>
    <row r="24" spans="1:14" x14ac:dyDescent="0.2">
      <c r="B24" s="343" t="str">
        <f>IF(E11&lt;10,"",IF(E57="Instantanée","",IF(E5="Semi Instantanée",'calcul hotel'!N38,"")))</f>
        <v/>
      </c>
      <c r="C24" s="325" t="str">
        <f>IF(E11&lt;10,"",IF(E5="Instantanée","",IF(E5="Semi Instantanée",'calcul hotel'!L25,"")))</f>
        <v/>
      </c>
      <c r="D24" s="153"/>
      <c r="E24" s="153"/>
      <c r="F24" s="153"/>
      <c r="G24" s="295"/>
      <c r="H24" s="153"/>
      <c r="I24" s="153"/>
      <c r="J24" s="153"/>
      <c r="K24" s="153"/>
      <c r="L24" s="153"/>
      <c r="M24" s="153"/>
      <c r="N24" s="153"/>
    </row>
    <row r="25" spans="1:14" x14ac:dyDescent="0.2">
      <c r="B25" s="343" t="str">
        <f>IF(E11&lt;10,"",IF(E5="Instantanée","",IF(E5="Semi Instantanée",'calcul hotel'!N39,"")))</f>
        <v/>
      </c>
      <c r="C25" s="325" t="str">
        <f>IF(E11&lt;10,"",IF(E5="Instantanée","",IF(E5="Semi Instantanée",'calcul hotel'!L26,"")))</f>
        <v/>
      </c>
      <c r="D25" s="153"/>
      <c r="E25" s="153"/>
      <c r="F25" s="153"/>
      <c r="G25" s="153"/>
      <c r="H25" s="153"/>
      <c r="I25" s="153"/>
      <c r="J25" s="153"/>
      <c r="K25" s="153"/>
      <c r="L25" s="153"/>
      <c r="M25" s="153"/>
      <c r="N25" s="153"/>
    </row>
    <row r="26" spans="1:14" x14ac:dyDescent="0.2">
      <c r="B26" s="343" t="str">
        <f>IF(E11&lt;10,"",IF(E5="Instantanée","",IF(E5="Semi Instantanée",'calcul hotel'!N40,"")))</f>
        <v/>
      </c>
      <c r="C26" s="325" t="str">
        <f>IF(E11&lt;10,"",IF(E5="Instantanée","",IF(E5="Semi Instantanée",'calcul hotel'!L27,"")))</f>
        <v/>
      </c>
      <c r="D26" s="153"/>
      <c r="E26" s="153"/>
      <c r="F26" s="153"/>
      <c r="G26" s="153"/>
      <c r="H26" s="153"/>
      <c r="I26" s="153"/>
      <c r="J26" s="153"/>
      <c r="K26" s="153"/>
      <c r="L26" s="153"/>
      <c r="M26" s="153"/>
      <c r="N26" s="153"/>
    </row>
    <row r="27" spans="1:14" x14ac:dyDescent="0.2">
      <c r="B27" s="343" t="str">
        <f>IF(E11&lt;10,"",IF(E5="Instantanée","",IF(E5="Semi Instantanée",'calcul hotel'!N41,"")))</f>
        <v/>
      </c>
      <c r="C27" s="325" t="str">
        <f>IF(E11&lt;10,"",IF(E5="Instantanée","",IF(E5="Semi Instantanée",'calcul hotel'!L28,"")))</f>
        <v/>
      </c>
      <c r="D27" s="153"/>
      <c r="E27" s="153"/>
      <c r="F27" s="153"/>
      <c r="G27" s="153"/>
      <c r="H27" s="153"/>
      <c r="I27" s="153"/>
      <c r="J27" s="153"/>
      <c r="K27" s="153"/>
      <c r="L27" s="153"/>
      <c r="M27" s="153"/>
      <c r="N27" s="153"/>
    </row>
    <row r="28" spans="1:14" x14ac:dyDescent="0.2">
      <c r="B28" s="153"/>
      <c r="C28" s="153"/>
      <c r="D28" s="153"/>
      <c r="E28" s="153"/>
      <c r="F28" s="153"/>
      <c r="G28" s="153"/>
      <c r="H28" s="153"/>
      <c r="I28" s="153"/>
      <c r="J28" s="153"/>
      <c r="K28" s="153"/>
      <c r="L28" s="153"/>
      <c r="M28" s="153"/>
      <c r="N28" s="153"/>
    </row>
    <row r="29" spans="1:14" x14ac:dyDescent="0.2">
      <c r="B29" s="157" t="s">
        <v>72</v>
      </c>
      <c r="C29" s="153"/>
      <c r="D29" s="153"/>
      <c r="E29" s="153"/>
      <c r="F29" s="377" t="str">
        <f>IF(E11&lt;10,"",IF(E5="Instantanée","Calculs Puissance d'appel",""))</f>
        <v>Calculs Puissance d'appel</v>
      </c>
      <c r="G29" s="378"/>
      <c r="H29" s="378"/>
      <c r="I29" s="153"/>
      <c r="J29" s="153"/>
      <c r="K29" s="153"/>
      <c r="L29" s="153"/>
      <c r="M29" s="153"/>
      <c r="N29" s="153"/>
    </row>
    <row r="30" spans="1:14" x14ac:dyDescent="0.2">
      <c r="B30" s="269" t="str">
        <f>IF(E11&lt;10,"",IF(E5="Instantanée","TransTherm",IF(E5="Semi Instantanée","TansTherm","")))</f>
        <v>TransTherm</v>
      </c>
      <c r="C30" s="379" t="str">
        <f>IF(E11&lt;10,"",(IF(E5="Instantanée",'calcul hotel'!D35,(IF(E5="Semi Instantanée",'calcul hotel'!D40,"")))))</f>
        <v>PAS DE MODELE</v>
      </c>
      <c r="D30" s="380"/>
      <c r="E30" s="153"/>
      <c r="F30" s="375" t="str">
        <f>IF(E11&lt;10,"",IF(F29="Calculs Puissance d'Appel",'calcul maison de retraite'!C48,""))</f>
        <v>Puissance d'appel (en kW)</v>
      </c>
      <c r="G30" s="376"/>
      <c r="H30" s="376"/>
      <c r="I30" s="156">
        <v>500</v>
      </c>
      <c r="J30" s="153"/>
      <c r="K30" s="153"/>
      <c r="L30" s="153"/>
      <c r="M30" s="153"/>
      <c r="N30" s="153"/>
    </row>
    <row r="31" spans="1:14" x14ac:dyDescent="0.2">
      <c r="B31" s="269" t="str">
        <f>IF(E11&lt;10,"",IF(E5="Instantanée","Ballon EnerVal",IF(E5="Semi Instantanée","Ballon CombiVal","")))</f>
        <v>Ballon EnerVal</v>
      </c>
      <c r="C31" s="381" t="str">
        <f>IF(E11&lt;10,"",(IF(E5="Instantanée",'calcul hotel'!D36,(IF(E5="Semi Instantanée",'calcul hotel'!D41,"")))))</f>
        <v>PAS DE MODELE</v>
      </c>
      <c r="D31" s="382"/>
      <c r="E31" s="153"/>
      <c r="F31" s="375" t="str">
        <f>IF(F29="Calculs Puissance d'Appel",'calcul hotel'!C49,"")</f>
        <v>Débit primaire en m3/h</v>
      </c>
      <c r="G31" s="376"/>
      <c r="H31" s="376"/>
      <c r="I31" s="154">
        <f>IF(F29="Calculs Puissance d'appel",'calcul hotel'!D49,"")</f>
        <v>6.0322774740947462</v>
      </c>
      <c r="J31" s="153"/>
      <c r="K31" s="153"/>
      <c r="L31" s="153"/>
      <c r="M31" s="153"/>
      <c r="N31" s="153"/>
    </row>
    <row r="32" spans="1:14" x14ac:dyDescent="0.2">
      <c r="B32" s="153"/>
      <c r="C32" s="294"/>
      <c r="D32" s="294"/>
      <c r="E32" s="153"/>
      <c r="F32" s="375" t="str">
        <f>IF(F29="Calculs Puissance d'Appel",'calcul hotel'!C48,"")</f>
        <v>Puissance d'appel (en kW)</v>
      </c>
      <c r="G32" s="376"/>
      <c r="H32" s="376"/>
      <c r="I32" s="154">
        <f>IF(F29="Calculs Puissance d'appel",'calcul hotel'!D48,"")</f>
        <v>279.89767479799622</v>
      </c>
      <c r="J32" s="153"/>
      <c r="K32" s="153"/>
      <c r="L32" s="153"/>
      <c r="M32" s="153"/>
      <c r="N32" s="153"/>
    </row>
    <row r="33" spans="1:14" x14ac:dyDescent="0.2">
      <c r="B33" s="153"/>
      <c r="C33" s="294"/>
      <c r="D33" s="294"/>
      <c r="E33" s="153"/>
      <c r="F33" s="341"/>
      <c r="G33" s="342"/>
      <c r="H33" s="342"/>
      <c r="I33" s="325"/>
      <c r="J33" s="153"/>
      <c r="K33" s="153"/>
      <c r="L33" s="153"/>
      <c r="M33" s="153"/>
      <c r="N33" s="153"/>
    </row>
    <row r="34" spans="1:14" ht="12.75" customHeight="1" x14ac:dyDescent="0.2">
      <c r="A34" s="175"/>
      <c r="B34" s="153"/>
      <c r="C34" s="294"/>
      <c r="D34" s="294"/>
      <c r="E34" s="153"/>
      <c r="F34" s="153"/>
      <c r="G34" s="153"/>
      <c r="H34" s="153"/>
      <c r="I34" s="153"/>
      <c r="J34" s="153"/>
      <c r="K34" s="153"/>
      <c r="L34" s="153"/>
      <c r="M34" s="153"/>
      <c r="N34" s="153"/>
    </row>
    <row r="35" spans="1:14" ht="13.15" customHeight="1" x14ac:dyDescent="0.2">
      <c r="A35" s="368" t="s">
        <v>174</v>
      </c>
      <c r="B35" s="368"/>
      <c r="C35" s="368"/>
      <c r="D35" s="368"/>
      <c r="E35" s="368"/>
      <c r="F35" s="368"/>
      <c r="G35" s="368"/>
      <c r="H35" s="368"/>
      <c r="I35" s="368"/>
      <c r="J35" s="153"/>
      <c r="K35" s="153"/>
      <c r="L35" s="153"/>
      <c r="M35" s="153"/>
      <c r="N35" s="153"/>
    </row>
    <row r="36" spans="1:14" ht="13.15" customHeight="1" x14ac:dyDescent="0.2">
      <c r="A36" s="368"/>
      <c r="B36" s="368"/>
      <c r="C36" s="368"/>
      <c r="D36" s="368"/>
      <c r="E36" s="368"/>
      <c r="F36" s="368"/>
      <c r="G36" s="368"/>
      <c r="H36" s="368"/>
      <c r="I36" s="368"/>
      <c r="J36" s="153"/>
      <c r="K36" s="153"/>
      <c r="L36" s="153"/>
      <c r="M36" s="153"/>
      <c r="N36" s="153"/>
    </row>
    <row r="37" spans="1:14" ht="13.15" customHeight="1" x14ac:dyDescent="0.2">
      <c r="A37" s="368"/>
      <c r="B37" s="368"/>
      <c r="C37" s="368"/>
      <c r="D37" s="368"/>
      <c r="E37" s="368"/>
      <c r="F37" s="368"/>
      <c r="G37" s="368"/>
      <c r="H37" s="368"/>
      <c r="I37" s="368"/>
      <c r="J37" s="153"/>
      <c r="K37" s="153"/>
      <c r="L37" s="153"/>
      <c r="M37" s="153"/>
      <c r="N37" s="153"/>
    </row>
    <row r="38" spans="1:14" ht="13.15" customHeight="1" x14ac:dyDescent="0.2">
      <c r="A38" s="368"/>
      <c r="B38" s="368"/>
      <c r="C38" s="368"/>
      <c r="D38" s="368"/>
      <c r="E38" s="368"/>
      <c r="F38" s="368"/>
      <c r="G38" s="368"/>
      <c r="H38" s="368"/>
      <c r="I38" s="368"/>
      <c r="J38" s="153"/>
      <c r="K38" s="153"/>
      <c r="L38" s="153"/>
      <c r="M38" s="153"/>
      <c r="N38" s="153"/>
    </row>
    <row r="39" spans="1:14" x14ac:dyDescent="0.2">
      <c r="B39" s="153"/>
      <c r="C39" s="153"/>
      <c r="D39" s="153"/>
      <c r="E39" s="153"/>
      <c r="F39" s="153"/>
      <c r="G39" s="153"/>
      <c r="H39" s="153"/>
      <c r="I39" s="153"/>
      <c r="J39" s="153"/>
      <c r="K39" s="153"/>
      <c r="L39" s="153"/>
      <c r="M39" s="153"/>
      <c r="N39" s="153"/>
    </row>
    <row r="40" spans="1:14" x14ac:dyDescent="0.2">
      <c r="I40" s="153"/>
      <c r="J40" s="153"/>
      <c r="K40" s="153"/>
      <c r="L40" s="153"/>
      <c r="M40" s="153"/>
      <c r="N40" s="153"/>
    </row>
    <row r="41" spans="1:14" x14ac:dyDescent="0.2">
      <c r="I41" s="153"/>
      <c r="J41" s="153"/>
      <c r="K41" s="153"/>
      <c r="L41" s="153"/>
      <c r="M41" s="153"/>
      <c r="N41" s="153"/>
    </row>
    <row r="42" spans="1:14" x14ac:dyDescent="0.2">
      <c r="I42" s="153"/>
      <c r="J42" s="153"/>
      <c r="K42" s="153"/>
      <c r="L42" s="153"/>
      <c r="M42" s="153"/>
      <c r="N42" s="153"/>
    </row>
    <row r="43" spans="1:14" x14ac:dyDescent="0.2">
      <c r="I43" s="153"/>
      <c r="J43" s="153"/>
      <c r="K43" s="153"/>
      <c r="L43" s="153"/>
      <c r="M43" s="153"/>
      <c r="N43" s="153"/>
    </row>
    <row r="44" spans="1:14" x14ac:dyDescent="0.2">
      <c r="I44" s="153"/>
      <c r="J44" s="153"/>
      <c r="K44" s="153"/>
      <c r="L44" s="153"/>
      <c r="M44" s="153"/>
      <c r="N44" s="153"/>
    </row>
    <row r="45" spans="1:14" x14ac:dyDescent="0.2">
      <c r="I45" s="153"/>
      <c r="J45" s="153"/>
      <c r="K45" s="153"/>
      <c r="L45" s="153"/>
      <c r="M45" s="153"/>
      <c r="N45" s="153"/>
    </row>
    <row r="46" spans="1:14" x14ac:dyDescent="0.2">
      <c r="I46" s="153"/>
      <c r="J46" s="153"/>
      <c r="K46" s="153"/>
      <c r="L46" s="153"/>
      <c r="M46" s="153"/>
      <c r="N46" s="153"/>
    </row>
    <row r="47" spans="1:14" x14ac:dyDescent="0.2">
      <c r="I47" s="153"/>
      <c r="J47" s="153"/>
      <c r="K47" s="153"/>
      <c r="L47" s="153"/>
      <c r="M47" s="153"/>
      <c r="N47" s="153"/>
    </row>
    <row r="48" spans="1:14" x14ac:dyDescent="0.2">
      <c r="I48" s="153"/>
      <c r="J48" s="153"/>
      <c r="K48" s="153"/>
      <c r="L48" s="153"/>
      <c r="M48" s="153"/>
      <c r="N48" s="153"/>
    </row>
    <row r="49" spans="9:14" x14ac:dyDescent="0.2">
      <c r="I49" s="153"/>
      <c r="J49" s="153"/>
      <c r="K49" s="153"/>
      <c r="L49" s="153"/>
      <c r="M49" s="153"/>
      <c r="N49" s="153"/>
    </row>
    <row r="50" spans="9:14" x14ac:dyDescent="0.2">
      <c r="I50" s="153"/>
      <c r="J50" s="153"/>
      <c r="K50" s="153"/>
      <c r="L50" s="153"/>
      <c r="M50" s="153"/>
      <c r="N50" s="153"/>
    </row>
    <row r="51" spans="9:14" x14ac:dyDescent="0.2">
      <c r="I51" s="153"/>
      <c r="J51" s="153"/>
      <c r="K51" s="153"/>
      <c r="L51" s="153"/>
      <c r="M51" s="153"/>
      <c r="N51" s="153"/>
    </row>
    <row r="52" spans="9:14" x14ac:dyDescent="0.2">
      <c r="I52" s="153"/>
      <c r="J52" s="153"/>
      <c r="K52" s="153"/>
      <c r="L52" s="153"/>
      <c r="M52" s="153"/>
      <c r="N52" s="153"/>
    </row>
    <row r="53" spans="9:14" x14ac:dyDescent="0.2">
      <c r="I53" s="153"/>
      <c r="J53" s="153"/>
      <c r="K53" s="153"/>
      <c r="L53" s="153"/>
      <c r="M53" s="153"/>
      <c r="N53" s="153"/>
    </row>
    <row r="54" spans="9:14" x14ac:dyDescent="0.2">
      <c r="I54" s="153"/>
      <c r="J54" s="153"/>
      <c r="K54" s="153"/>
      <c r="L54" s="153"/>
      <c r="M54" s="153"/>
      <c r="N54" s="153"/>
    </row>
    <row r="55" spans="9:14" x14ac:dyDescent="0.2">
      <c r="I55" s="153"/>
      <c r="J55" s="153"/>
      <c r="K55" s="153"/>
      <c r="L55" s="153"/>
      <c r="M55" s="153"/>
      <c r="N55" s="153"/>
    </row>
    <row r="56" spans="9:14" x14ac:dyDescent="0.2">
      <c r="I56" s="153"/>
      <c r="J56" s="153"/>
      <c r="K56" s="153"/>
      <c r="L56" s="153"/>
      <c r="M56" s="153"/>
      <c r="N56" s="153"/>
    </row>
  </sheetData>
  <mergeCells count="18">
    <mergeCell ref="A35:I38"/>
    <mergeCell ref="C11:D12"/>
    <mergeCell ref="F11:F12"/>
    <mergeCell ref="E11:E12"/>
    <mergeCell ref="D3:E3"/>
    <mergeCell ref="F32:H32"/>
    <mergeCell ref="F29:H29"/>
    <mergeCell ref="C30:D30"/>
    <mergeCell ref="F30:H30"/>
    <mergeCell ref="C31:D31"/>
    <mergeCell ref="F31:H31"/>
    <mergeCell ref="K4:L4"/>
    <mergeCell ref="B5:D5"/>
    <mergeCell ref="E5:F5"/>
    <mergeCell ref="B6:D6"/>
    <mergeCell ref="B7:D7"/>
    <mergeCell ref="E6:F6"/>
    <mergeCell ref="E7:F7"/>
  </mergeCells>
  <pageMargins left="0.78740157499999996" right="0.78740157499999996" top="0.38333333333333336" bottom="0.31666666666666665" header="0.4921259845" footer="0.4921259845"/>
  <pageSetup paperSize="9" orientation="landscape" r:id="rId1"/>
  <headerFooter alignWithMargins="0">
    <oddFooter>&amp;C&amp;"-,Italique"&amp;K00+000N.B : Les préconisations sont données à titre indicatif pour une estimation d’avant-projet
En cas de réalisation de celui-ci un bureau d’études devra confirmer les paramètres de l’installation.</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bases!$H$4:$J$4</xm:f>
          </x14:formula1>
          <xm:sqref>E5:F5</xm:sqref>
        </x14:dataValidation>
        <x14:dataValidation type="list" allowBlank="1" showInputMessage="1" showErrorMessage="1" xr:uid="{00000000-0002-0000-0200-000001000000}">
          <x14:formula1>
            <xm:f>bases!$H$18:$J$18</xm:f>
          </x14:formula1>
          <xm:sqref>E6:F6</xm:sqref>
        </x14:dataValidation>
        <x14:dataValidation type="list" allowBlank="1" showInputMessage="1" showErrorMessage="1" xr:uid="{00000000-0002-0000-0200-000002000000}">
          <x14:formula1>
            <xm:f>bases!$L$18:$O$18</xm:f>
          </x14:formula1>
          <xm:sqref>E7:F7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6"/>
  <dimension ref="A7:S53"/>
  <sheetViews>
    <sheetView topLeftCell="A22" workbookViewId="0">
      <selection activeCell="D26" sqref="D26"/>
    </sheetView>
  </sheetViews>
  <sheetFormatPr baseColWidth="10" defaultRowHeight="15" x14ac:dyDescent="0.25"/>
  <cols>
    <col min="3" max="3" width="24.42578125" customWidth="1"/>
    <col min="4" max="4" width="13.7109375" customWidth="1"/>
    <col min="8" max="8" width="19" customWidth="1"/>
    <col min="11" max="11" width="4.7109375" customWidth="1"/>
    <col min="12" max="12" width="21.28515625" customWidth="1"/>
    <col min="13" max="13" width="15.7109375" customWidth="1"/>
    <col min="14" max="14" width="41" customWidth="1"/>
    <col min="16" max="16" width="21.5703125" customWidth="1"/>
    <col min="17" max="17" width="21.140625" customWidth="1"/>
    <col min="18" max="18" width="22.7109375" customWidth="1"/>
    <col min="19" max="19" width="19.140625" customWidth="1"/>
  </cols>
  <sheetData>
    <row r="7" spans="1:6" x14ac:dyDescent="0.25">
      <c r="A7" s="228"/>
      <c r="B7" s="231"/>
      <c r="C7" t="s">
        <v>138</v>
      </c>
      <c r="D7" s="239">
        <f>HOTEL!E11</f>
        <v>300</v>
      </c>
      <c r="E7" s="233"/>
      <c r="F7" s="233"/>
    </row>
    <row r="8" spans="1:6" x14ac:dyDescent="0.25">
      <c r="A8" s="228"/>
      <c r="B8" s="244"/>
      <c r="D8" s="239"/>
      <c r="E8" s="233"/>
      <c r="F8" s="233"/>
    </row>
    <row r="9" spans="1:6" ht="30" x14ac:dyDescent="0.25">
      <c r="A9" s="228"/>
      <c r="B9" s="244"/>
      <c r="C9" s="245" t="s">
        <v>145</v>
      </c>
      <c r="D9" s="239">
        <f>HLOOKUP(D11,bases!L18:O19,2)</f>
        <v>150</v>
      </c>
      <c r="E9" s="233"/>
      <c r="F9" s="233"/>
    </row>
    <row r="10" spans="1:6" x14ac:dyDescent="0.25">
      <c r="A10" s="228"/>
      <c r="B10" s="244"/>
      <c r="D10" s="239"/>
      <c r="E10" s="233"/>
      <c r="F10" s="233"/>
    </row>
    <row r="11" spans="1:6" x14ac:dyDescent="0.25">
      <c r="B11" s="162"/>
      <c r="C11" s="1" t="s">
        <v>143</v>
      </c>
      <c r="D11" s="238">
        <f>HOTEL!E7</f>
        <v>4</v>
      </c>
      <c r="E11" s="232"/>
      <c r="F11" s="241"/>
    </row>
    <row r="12" spans="1:6" x14ac:dyDescent="0.25">
      <c r="B12" s="162"/>
      <c r="C12" s="1" t="s">
        <v>144</v>
      </c>
      <c r="D12" s="242" t="str">
        <f>HOTEL!E6</f>
        <v>montagne</v>
      </c>
      <c r="E12" s="232" t="s">
        <v>142</v>
      </c>
      <c r="F12" s="241">
        <f>IF(D12="tourisme",1,IF(D12="affaire",1.172,1.309))</f>
        <v>1.3089999999999999</v>
      </c>
    </row>
    <row r="13" spans="1:6" x14ac:dyDescent="0.25">
      <c r="B13" s="162"/>
      <c r="C13" s="1"/>
      <c r="D13" s="240"/>
      <c r="E13" s="232"/>
      <c r="F13" s="232"/>
    </row>
    <row r="14" spans="1:6" x14ac:dyDescent="0.25">
      <c r="B14" s="162"/>
      <c r="C14" s="248" t="s">
        <v>170</v>
      </c>
      <c r="D14" s="240">
        <v>1.2</v>
      </c>
      <c r="E14" s="247"/>
      <c r="F14" s="247"/>
    </row>
    <row r="15" spans="1:6" x14ac:dyDescent="0.25">
      <c r="B15" s="162"/>
      <c r="C15" s="292" t="s">
        <v>171</v>
      </c>
      <c r="D15" s="293">
        <f>IF(D11=1,1.44,IF(D11=2,1.2,IF(D11=3,1.1,IF(D11=4,1))))</f>
        <v>1</v>
      </c>
      <c r="E15" s="247"/>
      <c r="F15" s="247"/>
    </row>
    <row r="16" spans="1:6" x14ac:dyDescent="0.25">
      <c r="B16" s="162"/>
      <c r="C16" s="245"/>
      <c r="D16" s="240"/>
      <c r="E16" s="244"/>
      <c r="F16" s="244"/>
    </row>
    <row r="17" spans="2:14" ht="30" x14ac:dyDescent="0.25">
      <c r="B17" s="162"/>
      <c r="C17" s="245" t="s">
        <v>146</v>
      </c>
      <c r="D17" s="240">
        <f>(((D7*D9)*(1/SQRT(D7-1)))*F12)*(D14*D15)</f>
        <v>4087.8769280965653</v>
      </c>
      <c r="E17" s="244"/>
      <c r="F17" s="244"/>
      <c r="H17" s="270" t="s">
        <v>152</v>
      </c>
      <c r="I17" s="257">
        <f>D17</f>
        <v>4087.8769280965653</v>
      </c>
    </row>
    <row r="18" spans="2:14" ht="30" x14ac:dyDescent="0.25">
      <c r="B18" s="228"/>
      <c r="C18" s="245" t="s">
        <v>147</v>
      </c>
      <c r="D18" s="240">
        <f>D17/10</f>
        <v>408.78769280965651</v>
      </c>
      <c r="E18" s="228"/>
      <c r="F18" s="228"/>
    </row>
    <row r="19" spans="2:14" x14ac:dyDescent="0.25">
      <c r="B19" s="228"/>
      <c r="D19" s="239"/>
      <c r="E19" s="228"/>
      <c r="F19" s="228"/>
    </row>
    <row r="20" spans="2:14" x14ac:dyDescent="0.25">
      <c r="B20" s="24"/>
      <c r="C20" s="11" t="s">
        <v>2</v>
      </c>
      <c r="D20" s="240">
        <f>(D18*60*50)*(4.2/3600)</f>
        <v>1430.7569248337979</v>
      </c>
      <c r="E20" s="228"/>
      <c r="F20" s="228"/>
    </row>
    <row r="21" spans="2:14" x14ac:dyDescent="0.25">
      <c r="B21" s="228"/>
      <c r="C21" s="228"/>
      <c r="D21" s="228"/>
      <c r="E21" s="228"/>
      <c r="F21" s="228"/>
    </row>
    <row r="22" spans="2:14" x14ac:dyDescent="0.25">
      <c r="B22" s="24"/>
      <c r="C22" s="59"/>
      <c r="D22" s="243"/>
      <c r="E22" s="228"/>
      <c r="F22" s="296"/>
      <c r="L22" s="197" t="s">
        <v>193</v>
      </c>
      <c r="M22" s="197" t="s">
        <v>181</v>
      </c>
      <c r="N22" s="197" t="s">
        <v>182</v>
      </c>
    </row>
    <row r="23" spans="2:14" x14ac:dyDescent="0.25">
      <c r="B23" s="228"/>
      <c r="C23" s="228"/>
      <c r="D23" s="228"/>
      <c r="E23" s="228"/>
      <c r="F23" s="228"/>
      <c r="L23" s="197" t="s">
        <v>31</v>
      </c>
      <c r="M23" s="197">
        <v>300</v>
      </c>
      <c r="N23" s="320">
        <f>D20-(M23*0.208)</f>
        <v>1368.3569248337978</v>
      </c>
    </row>
    <row r="24" spans="2:14" x14ac:dyDescent="0.25">
      <c r="B24" s="228"/>
      <c r="C24" s="228"/>
      <c r="D24" s="228"/>
      <c r="E24" s="228"/>
      <c r="F24" s="228"/>
      <c r="L24" s="197" t="s">
        <v>32</v>
      </c>
      <c r="M24" s="197">
        <v>500</v>
      </c>
      <c r="N24" s="320">
        <f>D20-(M24*0.208)</f>
        <v>1326.7569248337979</v>
      </c>
    </row>
    <row r="25" spans="2:14" x14ac:dyDescent="0.25">
      <c r="B25" s="24"/>
      <c r="C25" s="228"/>
      <c r="D25" s="228"/>
      <c r="E25" s="228"/>
      <c r="F25" s="228"/>
      <c r="L25" s="197" t="s">
        <v>33</v>
      </c>
      <c r="M25" s="197">
        <v>800</v>
      </c>
      <c r="N25" s="320">
        <f>D20-(M25*0.208)</f>
        <v>1264.3569248337978</v>
      </c>
    </row>
    <row r="26" spans="2:14" x14ac:dyDescent="0.25">
      <c r="B26" s="228"/>
      <c r="C26" s="228"/>
      <c r="D26" s="228"/>
      <c r="E26" s="228"/>
      <c r="F26" s="228"/>
      <c r="L26" s="197" t="s">
        <v>34</v>
      </c>
      <c r="M26" s="197">
        <v>1000</v>
      </c>
      <c r="N26" s="320">
        <f>D20-(M26*0.208)</f>
        <v>1222.7569248337979</v>
      </c>
    </row>
    <row r="27" spans="2:14" ht="26.25" x14ac:dyDescent="0.25">
      <c r="C27" s="168" t="s">
        <v>93</v>
      </c>
      <c r="D27" s="164">
        <f>D17</f>
        <v>4087.8769280965653</v>
      </c>
      <c r="E27" s="164">
        <f>ROUNDDOWN(D27,-2)</f>
        <v>4000</v>
      </c>
      <c r="F27" s="255">
        <f>D27-E27</f>
        <v>87.87692809656528</v>
      </c>
      <c r="G27" s="255">
        <f>IF(F27&lt;50,ROUNDDOWN(D27,-2),ROUNDUP(D27,-2))</f>
        <v>4100</v>
      </c>
      <c r="L27" s="197" t="s">
        <v>35</v>
      </c>
      <c r="M27" s="197">
        <v>1500</v>
      </c>
      <c r="N27" s="320">
        <f>D20-(M27*0.208)</f>
        <v>1118.7569248337979</v>
      </c>
    </row>
    <row r="28" spans="2:14" x14ac:dyDescent="0.25">
      <c r="L28" s="197" t="s">
        <v>36</v>
      </c>
      <c r="M28" s="197">
        <v>2000</v>
      </c>
      <c r="N28" s="320">
        <f>D20-(M28*0.208)</f>
        <v>1014.7569248337979</v>
      </c>
    </row>
    <row r="29" spans="2:14" ht="26.25" x14ac:dyDescent="0.25">
      <c r="C29" s="168" t="s">
        <v>92</v>
      </c>
      <c r="D29" s="164">
        <f>D17</f>
        <v>4087.8769280965653</v>
      </c>
      <c r="E29" s="164">
        <f>ROUNDDOWN(D29,-2)</f>
        <v>4000</v>
      </c>
      <c r="F29" s="255"/>
      <c r="G29" s="329"/>
      <c r="H29">
        <f>VLOOKUP(E29,bases!E27:F47,2)</f>
        <v>2000</v>
      </c>
      <c r="I29" s="168"/>
      <c r="J29" s="152"/>
      <c r="M29" s="384" t="s">
        <v>192</v>
      </c>
      <c r="N29" s="384"/>
    </row>
    <row r="33" spans="3:19" x14ac:dyDescent="0.25">
      <c r="C33" s="165" t="s">
        <v>50</v>
      </c>
    </row>
    <row r="34" spans="3:19" x14ac:dyDescent="0.25">
      <c r="C34" s="152"/>
    </row>
    <row r="35" spans="3:19" ht="30" x14ac:dyDescent="0.25">
      <c r="C35" s="165" t="s">
        <v>88</v>
      </c>
      <c r="D35" t="str">
        <f>IF(D20&lt;96,"F-GSWT(100)",IF(D20&lt;194,"F-GSWT (200)",IF(D20&lt;304,"F-GSWT (300)",IF(D20&lt;372,"F-GSWT (375)",IF(D20&lt;499,"F-GSWT (500)",IF(D20&lt;599,"F-GSWT (600)",IF(D20&lt;699,"F-GSWT (700)",IF(D20&lt;848,"F-GSWT (850)","PAS DE MODELE"))))))))</f>
        <v>PAS DE MODELE</v>
      </c>
      <c r="M35" s="321" t="s">
        <v>183</v>
      </c>
      <c r="N35" s="321" t="s">
        <v>188</v>
      </c>
      <c r="P35" t="s">
        <v>185</v>
      </c>
      <c r="Q35" t="s">
        <v>184</v>
      </c>
      <c r="R35" t="s">
        <v>186</v>
      </c>
      <c r="S35" t="s">
        <v>187</v>
      </c>
    </row>
    <row r="36" spans="3:19" x14ac:dyDescent="0.25">
      <c r="C36" s="165" t="s">
        <v>90</v>
      </c>
      <c r="D36" t="str">
        <f>IF(D35="PAS DE MODELE","PAS DE MODELE",VLOOKUP(G27,bases!B3:C63,2))</f>
        <v>PAS DE MODELE</v>
      </c>
      <c r="M36" s="322">
        <f>IF(N23&lt;0,"pas de solution",M23)</f>
        <v>300</v>
      </c>
      <c r="N36" s="323" t="str">
        <f>IF(OR(N23&lt;0,N23&gt;275),"pas de solution",N23)</f>
        <v>pas de solution</v>
      </c>
      <c r="P36" s="274" t="str">
        <f>IF(Q36="PAS DE MODELE","pas de solution",VLOOKUP(M36,bases!E3:F23,2))</f>
        <v>pas de solution</v>
      </c>
      <c r="Q36" s="274" t="str">
        <f t="shared" ref="Q36:Q41" si="0">IF(N36&lt;50,"aqua L (10)",IF(N36&lt;90,"aqua L (16)",IF(N36&lt;115,"aqua L (20)",IF(N36&lt;175,"aqua L (30)",IF(N36&lt;230,"aqua L (40)",IF(N36&lt;275,"aqua L (50)","PAS DE MODELE"))))))</f>
        <v>PAS DE MODELE</v>
      </c>
      <c r="R36" t="str">
        <f>IF(S36="PAS DE MODELE","pas de solution",IF(H29&gt;2000,"PAS DE SOLUTION",VLOOKUP(H29,bases!E3:F23,2)))</f>
        <v>pas de solution</v>
      </c>
      <c r="S36" t="str">
        <f>VLOOKUP(H29,P48:Q53,2)</f>
        <v>PAS DE MODELE</v>
      </c>
    </row>
    <row r="37" spans="3:19" x14ac:dyDescent="0.25">
      <c r="C37" s="152"/>
      <c r="M37" s="322">
        <f t="shared" ref="M37:M41" si="1">IF(N24&lt;0,"pas de solution",M24)</f>
        <v>500</v>
      </c>
      <c r="N37" s="323" t="str">
        <f t="shared" ref="N37:N41" si="2">IF(OR(N24&lt;0,N24&gt;275),"pas de solution",N24)</f>
        <v>pas de solution</v>
      </c>
      <c r="P37" s="274" t="str">
        <f>IF(Q37="PAS DE MODELE","pas de solution",VLOOKUP(M37,bases!E3:F23,2))</f>
        <v>pas de solution</v>
      </c>
      <c r="Q37" s="274" t="str">
        <f t="shared" si="0"/>
        <v>PAS DE MODELE</v>
      </c>
    </row>
    <row r="38" spans="3:19" x14ac:dyDescent="0.25">
      <c r="C38" s="165" t="s">
        <v>89</v>
      </c>
      <c r="D38" s="152"/>
      <c r="E38" s="152"/>
      <c r="M38" s="322">
        <f t="shared" si="1"/>
        <v>800</v>
      </c>
      <c r="N38" s="323" t="str">
        <f t="shared" si="2"/>
        <v>pas de solution</v>
      </c>
      <c r="P38" s="274" t="str">
        <f>IF(Q38="PAS DE MODELE","pas de solution",VLOOKUP(M38,bases!E3:F23,2))</f>
        <v>pas de solution</v>
      </c>
      <c r="Q38" s="274" t="str">
        <f t="shared" si="0"/>
        <v>PAS DE MODELE</v>
      </c>
    </row>
    <row r="39" spans="3:19" x14ac:dyDescent="0.25">
      <c r="C39" s="152"/>
      <c r="D39" s="152"/>
      <c r="E39" s="152"/>
      <c r="M39" s="322">
        <f t="shared" si="1"/>
        <v>1000</v>
      </c>
      <c r="N39" s="323" t="str">
        <f t="shared" si="2"/>
        <v>pas de solution</v>
      </c>
      <c r="P39" s="274" t="str">
        <f>IF(Q39="PAS DE MODELE","pas de solution",VLOOKUP(M39,bases!E3:F23,2))</f>
        <v>pas de solution</v>
      </c>
      <c r="Q39" s="274" t="str">
        <f t="shared" si="0"/>
        <v>PAS DE MODELE</v>
      </c>
    </row>
    <row r="40" spans="3:19" x14ac:dyDescent="0.25">
      <c r="C40" s="165" t="s">
        <v>88</v>
      </c>
      <c r="D40" s="152" t="str">
        <f>S36</f>
        <v>PAS DE MODELE</v>
      </c>
      <c r="E40" s="152"/>
      <c r="M40" s="322">
        <f t="shared" si="1"/>
        <v>1500</v>
      </c>
      <c r="N40" s="323" t="str">
        <f t="shared" si="2"/>
        <v>pas de solution</v>
      </c>
      <c r="P40" s="274" t="str">
        <f>IF(Q40="PAS DE MODELE","pas de solution",VLOOKUP(M40,bases!E3:F23,2))</f>
        <v>pas de solution</v>
      </c>
      <c r="Q40" s="274" t="str">
        <f t="shared" si="0"/>
        <v>PAS DE MODELE</v>
      </c>
    </row>
    <row r="41" spans="3:19" x14ac:dyDescent="0.25">
      <c r="C41" s="165" t="s">
        <v>87</v>
      </c>
      <c r="D41" s="152" t="str">
        <f>R36</f>
        <v>pas de solution</v>
      </c>
      <c r="E41" s="152"/>
      <c r="F41" s="274"/>
      <c r="G41" s="274"/>
      <c r="H41" s="274"/>
      <c r="M41" s="322">
        <f t="shared" si="1"/>
        <v>2000</v>
      </c>
      <c r="N41" s="323" t="str">
        <f t="shared" si="2"/>
        <v>pas de solution</v>
      </c>
      <c r="P41" s="274" t="str">
        <f>IF(Q41="PAS DE MODELE","pas de solution",VLOOKUP(M41,bases!E3:F23,2))</f>
        <v>pas de solution</v>
      </c>
      <c r="Q41" s="274" t="str">
        <f t="shared" si="0"/>
        <v>PAS DE MODELE</v>
      </c>
    </row>
    <row r="42" spans="3:19" x14ac:dyDescent="0.25">
      <c r="F42" s="274"/>
      <c r="G42" s="274"/>
      <c r="H42" s="274"/>
    </row>
    <row r="43" spans="3:19" x14ac:dyDescent="0.25">
      <c r="F43" s="274"/>
      <c r="G43" s="274"/>
      <c r="H43" s="274"/>
    </row>
    <row r="44" spans="3:19" x14ac:dyDescent="0.25">
      <c r="C44" s="165"/>
      <c r="D44" s="164"/>
      <c r="E44" s="152"/>
      <c r="F44" s="383" t="s">
        <v>190</v>
      </c>
      <c r="G44" s="383"/>
      <c r="H44" s="383"/>
      <c r="I44" s="275">
        <f>1.3*I17</f>
        <v>5314.2400065255351</v>
      </c>
    </row>
    <row r="45" spans="3:19" x14ac:dyDescent="0.25">
      <c r="C45" s="165" t="s">
        <v>83</v>
      </c>
      <c r="D45" s="152">
        <f>HOTEL!I30</f>
        <v>500</v>
      </c>
      <c r="E45" s="152"/>
      <c r="F45" s="152"/>
      <c r="G45" s="152"/>
      <c r="H45" s="152"/>
      <c r="I45" s="152"/>
    </row>
    <row r="46" spans="3:19" x14ac:dyDescent="0.25">
      <c r="C46" s="152"/>
      <c r="D46" s="152"/>
      <c r="E46" s="152"/>
      <c r="F46" s="152"/>
      <c r="G46" s="152"/>
      <c r="H46" s="152"/>
      <c r="I46" s="152"/>
    </row>
    <row r="47" spans="3:19" ht="30" x14ac:dyDescent="0.25">
      <c r="C47" s="152"/>
      <c r="D47" s="152"/>
      <c r="E47" s="152"/>
      <c r="F47" s="152"/>
      <c r="G47" s="152"/>
      <c r="H47" s="152"/>
      <c r="I47" s="152"/>
      <c r="P47" s="330" t="s">
        <v>183</v>
      </c>
      <c r="Q47" s="331" t="s">
        <v>184</v>
      </c>
    </row>
    <row r="48" spans="3:19" x14ac:dyDescent="0.25">
      <c r="C48" s="165" t="s">
        <v>82</v>
      </c>
      <c r="D48" s="273">
        <f>IF(D45&gt;I44,"ERREUR - Volume Tampon trop important",(I44-D45)*50)/860</f>
        <v>279.89767479799622</v>
      </c>
      <c r="E48" s="152"/>
      <c r="F48" s="152"/>
      <c r="G48" s="152"/>
      <c r="H48" s="152"/>
      <c r="I48" s="152"/>
      <c r="P48" s="332">
        <f>IF(M36&lt;0,"pas de solution",M36)</f>
        <v>300</v>
      </c>
      <c r="Q48" s="331" t="str">
        <f>IF(N36&lt;50,"aqua L (10)",IF(N36&lt;90,"aqua L (16)",IF(N36&lt;115,"aqua L (20)",IF(N36&lt;175,"aqua L (30)",IF(N36&lt;230,"aqua L (40)",IF(N36&lt;275,"aqua L (50)","PAS DE MODELE"))))))</f>
        <v>PAS DE MODELE</v>
      </c>
    </row>
    <row r="49" spans="3:17" x14ac:dyDescent="0.25">
      <c r="C49" s="165" t="s">
        <v>81</v>
      </c>
      <c r="D49" s="164">
        <f>(D48/1.16)/40</f>
        <v>6.0322774740947462</v>
      </c>
      <c r="E49" s="152"/>
      <c r="F49" s="152"/>
      <c r="G49" s="152"/>
      <c r="H49" s="152"/>
      <c r="I49" s="152"/>
      <c r="P49" s="332">
        <f t="shared" ref="P49:P53" si="3">IF(M37&lt;0,"pas de solution",M37)</f>
        <v>500</v>
      </c>
      <c r="Q49" s="331" t="str">
        <f t="shared" ref="Q49:Q53" si="4">IF(N37&lt;50,"aqua L (10)",IF(N37&lt;90,"aqua L (16)",IF(N37&lt;115,"aqua L (20)",IF(N37&lt;175,"aqua L (30)",IF(N37&lt;230,"aqua L (40)",IF(N37&lt;275,"aqua L (50)","PAS DE MODELE"))))))</f>
        <v>PAS DE MODELE</v>
      </c>
    </row>
    <row r="50" spans="3:17" x14ac:dyDescent="0.25">
      <c r="P50" s="332">
        <f t="shared" si="3"/>
        <v>800</v>
      </c>
      <c r="Q50" s="331" t="str">
        <f t="shared" si="4"/>
        <v>PAS DE MODELE</v>
      </c>
    </row>
    <row r="51" spans="3:17" x14ac:dyDescent="0.25">
      <c r="P51" s="332">
        <f t="shared" si="3"/>
        <v>1000</v>
      </c>
      <c r="Q51" s="331" t="str">
        <f t="shared" si="4"/>
        <v>PAS DE MODELE</v>
      </c>
    </row>
    <row r="52" spans="3:17" x14ac:dyDescent="0.25">
      <c r="P52" s="332">
        <f t="shared" si="3"/>
        <v>1500</v>
      </c>
      <c r="Q52" s="331" t="str">
        <f t="shared" si="4"/>
        <v>PAS DE MODELE</v>
      </c>
    </row>
    <row r="53" spans="3:17" x14ac:dyDescent="0.25">
      <c r="P53" s="332">
        <f t="shared" si="3"/>
        <v>2000</v>
      </c>
      <c r="Q53" s="331" t="str">
        <f t="shared" si="4"/>
        <v>PAS DE MODELE</v>
      </c>
    </row>
  </sheetData>
  <mergeCells count="2">
    <mergeCell ref="F44:H44"/>
    <mergeCell ref="M29:N2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8">
    <pageSetUpPr fitToPage="1"/>
  </sheetPr>
  <dimension ref="A1:N35"/>
  <sheetViews>
    <sheetView showGridLines="0" showWhiteSpace="0" view="pageLayout" zoomScaleNormal="85" workbookViewId="0">
      <selection activeCell="H26" sqref="H26"/>
    </sheetView>
  </sheetViews>
  <sheetFormatPr baseColWidth="10" defaultColWidth="11.42578125" defaultRowHeight="12.75" x14ac:dyDescent="0.2"/>
  <cols>
    <col min="1" max="1" width="30.7109375" style="152" customWidth="1"/>
    <col min="2" max="2" width="11.42578125" style="152"/>
    <col min="3" max="3" width="16.85546875" style="152" customWidth="1"/>
    <col min="4" max="4" width="15.42578125" style="152" customWidth="1"/>
    <col min="5" max="6" width="11.42578125" style="152"/>
    <col min="7" max="7" width="6.28515625" style="152" customWidth="1"/>
    <col min="8" max="16384" width="11.42578125" style="152"/>
  </cols>
  <sheetData>
    <row r="1" spans="1:13" x14ac:dyDescent="0.2">
      <c r="A1" s="153"/>
      <c r="B1" s="153"/>
      <c r="C1" s="153"/>
      <c r="D1" s="153"/>
      <c r="E1" s="153"/>
      <c r="F1" s="153"/>
      <c r="G1" s="153"/>
      <c r="H1" s="153"/>
      <c r="I1" s="153"/>
      <c r="J1" s="153"/>
      <c r="K1" s="153"/>
      <c r="L1" s="153"/>
      <c r="M1" s="153"/>
    </row>
    <row r="2" spans="1:13" x14ac:dyDescent="0.2">
      <c r="A2" s="153"/>
      <c r="B2" s="153"/>
      <c r="C2" s="153"/>
      <c r="D2" s="153"/>
      <c r="E2" s="153"/>
      <c r="F2" s="153"/>
      <c r="G2" s="153"/>
      <c r="H2" s="153"/>
      <c r="I2" s="153"/>
      <c r="J2" s="153"/>
      <c r="K2" s="153"/>
      <c r="L2" s="153"/>
      <c r="M2" s="153"/>
    </row>
    <row r="3" spans="1:13" x14ac:dyDescent="0.2">
      <c r="A3" s="362" t="s">
        <v>108</v>
      </c>
      <c r="B3" s="362"/>
      <c r="C3" s="153"/>
      <c r="D3" s="363" t="s">
        <v>79</v>
      </c>
      <c r="E3" s="355"/>
      <c r="F3" s="355"/>
      <c r="G3" s="389" t="s">
        <v>58</v>
      </c>
      <c r="H3" s="390"/>
      <c r="I3" s="153"/>
      <c r="J3" s="362"/>
      <c r="K3" s="362"/>
      <c r="L3" s="153"/>
      <c r="M3" s="153"/>
    </row>
    <row r="4" spans="1:13" x14ac:dyDescent="0.2">
      <c r="A4" s="153"/>
      <c r="B4" s="153"/>
      <c r="C4" s="153"/>
      <c r="D4" s="153"/>
      <c r="E4" s="153"/>
      <c r="F4" s="153"/>
      <c r="G4" s="302"/>
      <c r="H4" s="302"/>
      <c r="I4" s="153"/>
      <c r="J4" s="153"/>
      <c r="K4" s="153"/>
      <c r="L4" s="153"/>
      <c r="M4" s="153"/>
    </row>
    <row r="5" spans="1:13" x14ac:dyDescent="0.2">
      <c r="A5" s="153"/>
      <c r="B5" s="153"/>
      <c r="C5" s="153"/>
      <c r="D5" s="153"/>
      <c r="E5" s="153"/>
      <c r="F5" s="153"/>
      <c r="G5" s="302"/>
      <c r="H5" s="302"/>
      <c r="I5" s="153"/>
      <c r="J5" s="153"/>
      <c r="K5" s="153"/>
      <c r="L5" s="153"/>
      <c r="M5" s="153"/>
    </row>
    <row r="6" spans="1:13" x14ac:dyDescent="0.2">
      <c r="A6" s="153"/>
      <c r="B6" s="153"/>
      <c r="C6" s="153"/>
      <c r="D6" s="153"/>
      <c r="E6" s="153"/>
      <c r="F6" s="153"/>
      <c r="G6" s="302"/>
      <c r="H6" s="302"/>
      <c r="I6" s="153"/>
      <c r="J6" s="153"/>
      <c r="K6" s="153"/>
      <c r="L6" s="153"/>
      <c r="M6" s="153"/>
    </row>
    <row r="7" spans="1:13" x14ac:dyDescent="0.2">
      <c r="A7" s="153"/>
      <c r="B7" s="153"/>
      <c r="C7" s="153"/>
      <c r="D7" s="153"/>
      <c r="E7" s="153"/>
      <c r="F7" s="153"/>
      <c r="G7" s="302"/>
      <c r="H7" s="302"/>
      <c r="I7" s="153"/>
      <c r="J7" s="153"/>
      <c r="K7" s="153"/>
      <c r="L7" s="153"/>
      <c r="M7" s="153"/>
    </row>
    <row r="8" spans="1:13" x14ac:dyDescent="0.2">
      <c r="A8" s="153"/>
      <c r="B8" s="153"/>
      <c r="C8" s="153"/>
      <c r="D8" s="153"/>
      <c r="E8" s="153"/>
      <c r="F8" s="153"/>
      <c r="G8" s="153"/>
      <c r="H8" s="153"/>
      <c r="I8" s="153"/>
      <c r="J8" s="153"/>
      <c r="K8" s="153"/>
      <c r="L8" s="153"/>
      <c r="M8" s="153"/>
    </row>
    <row r="9" spans="1:13" x14ac:dyDescent="0.2">
      <c r="A9" s="160"/>
      <c r="B9" s="153"/>
      <c r="C9" s="369" t="s">
        <v>78</v>
      </c>
      <c r="D9" s="387"/>
      <c r="E9" s="153"/>
      <c r="F9" s="153"/>
      <c r="G9" s="153"/>
      <c r="H9" s="153"/>
      <c r="I9" s="153"/>
      <c r="J9" s="153"/>
      <c r="K9" s="153"/>
      <c r="L9" s="153"/>
      <c r="M9" s="153"/>
    </row>
    <row r="10" spans="1:13" x14ac:dyDescent="0.2">
      <c r="A10" s="160"/>
      <c r="B10" s="153"/>
      <c r="C10" s="393"/>
      <c r="D10" s="387"/>
      <c r="E10" s="153"/>
      <c r="F10" s="153"/>
      <c r="G10" s="153"/>
      <c r="H10" s="153"/>
      <c r="I10" s="153"/>
      <c r="J10" s="153"/>
      <c r="K10" s="153"/>
      <c r="L10" s="153"/>
      <c r="M10" s="153"/>
    </row>
    <row r="11" spans="1:13" x14ac:dyDescent="0.2">
      <c r="A11" s="391" t="s">
        <v>105</v>
      </c>
      <c r="B11" s="375"/>
      <c r="C11" s="299">
        <v>35</v>
      </c>
      <c r="D11" s="256"/>
      <c r="E11" s="153"/>
      <c r="F11" s="153"/>
      <c r="G11" s="153"/>
      <c r="H11" s="153"/>
      <c r="I11" s="153"/>
      <c r="J11" s="153"/>
      <c r="K11" s="153"/>
      <c r="L11" s="153"/>
      <c r="M11" s="153"/>
    </row>
    <row r="12" spans="1:13" x14ac:dyDescent="0.2">
      <c r="A12" s="392" t="s">
        <v>104</v>
      </c>
      <c r="B12" s="391"/>
      <c r="C12" s="299">
        <v>1</v>
      </c>
      <c r="D12" s="256"/>
      <c r="E12" s="153"/>
      <c r="F12" s="153"/>
      <c r="G12" s="153"/>
      <c r="H12" s="153"/>
      <c r="I12" s="153"/>
      <c r="J12" s="153"/>
      <c r="K12" s="153"/>
      <c r="L12" s="153"/>
      <c r="M12" s="153"/>
    </row>
    <row r="13" spans="1:13" x14ac:dyDescent="0.2">
      <c r="A13" s="162"/>
      <c r="B13" s="161"/>
      <c r="C13" s="300"/>
      <c r="D13" s="153"/>
      <c r="E13" s="153"/>
      <c r="F13" s="153"/>
      <c r="G13" s="153"/>
      <c r="H13" s="153"/>
      <c r="I13" s="153"/>
      <c r="J13" s="153"/>
      <c r="K13" s="153"/>
      <c r="L13" s="153"/>
      <c r="M13" s="153"/>
    </row>
    <row r="14" spans="1:13" x14ac:dyDescent="0.2">
      <c r="A14" s="162"/>
      <c r="B14" s="161"/>
      <c r="C14" s="300"/>
      <c r="D14" s="153"/>
      <c r="E14" s="153"/>
      <c r="F14" s="153"/>
      <c r="G14" s="153"/>
      <c r="H14" s="153"/>
      <c r="I14" s="153"/>
      <c r="J14" s="153"/>
      <c r="K14" s="153"/>
      <c r="L14" s="153"/>
      <c r="M14" s="153"/>
    </row>
    <row r="15" spans="1:13" x14ac:dyDescent="0.2">
      <c r="A15" s="363" t="s">
        <v>107</v>
      </c>
      <c r="B15" s="355"/>
      <c r="C15" s="301" t="s">
        <v>110</v>
      </c>
      <c r="D15" s="176"/>
      <c r="E15" s="153"/>
      <c r="F15" s="153"/>
      <c r="G15" s="153"/>
      <c r="H15" s="153"/>
      <c r="I15" s="153"/>
      <c r="J15" s="153"/>
      <c r="K15" s="153"/>
      <c r="L15" s="153"/>
      <c r="M15" s="153"/>
    </row>
    <row r="16" spans="1:13" x14ac:dyDescent="0.2">
      <c r="A16" s="153"/>
      <c r="B16" s="153"/>
      <c r="C16" s="153"/>
      <c r="D16" s="153"/>
      <c r="E16" s="153"/>
      <c r="F16" s="153"/>
      <c r="G16" s="153"/>
      <c r="H16" s="153"/>
      <c r="I16" s="153"/>
      <c r="J16" s="153"/>
      <c r="K16" s="153"/>
      <c r="L16" s="153"/>
      <c r="M16" s="153"/>
    </row>
    <row r="17" spans="1:14" x14ac:dyDescent="0.2">
      <c r="A17" s="153"/>
      <c r="B17" s="153"/>
      <c r="C17" s="153"/>
      <c r="D17" s="153"/>
      <c r="E17" s="153"/>
      <c r="F17" s="153"/>
      <c r="G17" s="153"/>
      <c r="H17" s="153"/>
      <c r="I17" s="153"/>
      <c r="J17" s="153"/>
      <c r="K17" s="153"/>
      <c r="L17" s="153"/>
      <c r="M17" s="153"/>
    </row>
    <row r="18" spans="1:14" x14ac:dyDescent="0.2">
      <c r="A18" s="153"/>
      <c r="B18" s="153"/>
      <c r="C18" s="153"/>
      <c r="D18" s="153"/>
      <c r="E18" s="153"/>
      <c r="F18" s="153"/>
      <c r="G18" s="153"/>
      <c r="H18" s="153"/>
      <c r="I18" s="153"/>
      <c r="J18" s="153"/>
      <c r="K18" s="153"/>
      <c r="L18" s="153"/>
      <c r="M18" s="153"/>
    </row>
    <row r="19" spans="1:14" x14ac:dyDescent="0.2">
      <c r="A19" s="157" t="s">
        <v>64</v>
      </c>
      <c r="B19" s="153"/>
      <c r="C19" s="153"/>
      <c r="D19" s="153"/>
      <c r="E19" s="153"/>
      <c r="F19" s="153"/>
      <c r="G19" s="153"/>
      <c r="H19" s="153"/>
      <c r="I19" s="153"/>
      <c r="J19" s="153"/>
      <c r="K19" s="153"/>
      <c r="L19" s="153"/>
      <c r="M19" s="153"/>
    </row>
    <row r="20" spans="1:14" ht="25.5" x14ac:dyDescent="0.2">
      <c r="A20" s="159" t="str">
        <f>(IF(OR(G3="Instantanée",G3="Semi Instantanée"),'calcul douches collectives'!A22,""))</f>
        <v>BECS totale 10 min en L à Delta T 50 °C</v>
      </c>
      <c r="B20" s="298">
        <f>IF(A20="","",'calcul douches collectives'!B22)</f>
        <v>1260</v>
      </c>
      <c r="C20" s="153"/>
      <c r="D20" s="153"/>
      <c r="E20" s="153"/>
      <c r="F20" s="153"/>
      <c r="G20" s="153"/>
      <c r="H20" s="153"/>
      <c r="I20" s="153"/>
      <c r="J20" s="153"/>
      <c r="K20" s="153"/>
      <c r="L20" s="153"/>
      <c r="M20" s="153"/>
    </row>
    <row r="21" spans="1:14" x14ac:dyDescent="0.2">
      <c r="A21" s="159" t="str">
        <f>(IF(OR(G3="Instantanée",G3="Semi Instantanée"),'calcul douches collectives'!A24,""))</f>
        <v>BECS horaire  en L à Delta T 50 °C</v>
      </c>
      <c r="B21" s="298">
        <f>IF(A21="","",'calcul douches collectives'!B24)</f>
        <v>1260</v>
      </c>
      <c r="C21" s="153"/>
      <c r="D21" s="153"/>
      <c r="E21" s="153"/>
      <c r="F21" s="153"/>
      <c r="G21" s="153"/>
      <c r="H21" s="153"/>
      <c r="I21" s="153"/>
      <c r="J21" s="153"/>
      <c r="K21" s="153"/>
      <c r="L21" s="153"/>
      <c r="M21" s="153"/>
    </row>
    <row r="22" spans="1:14" x14ac:dyDescent="0.2">
      <c r="A22" s="159" t="str">
        <f>IF(G3="Instantanée","Puissance calculée en kW",IF(G3="Semi Instantanée","Puissance calculée en kW",""))</f>
        <v>Puissance calculée en kW</v>
      </c>
      <c r="B22" s="154">
        <f>IF(G3="Instantanée",'calcul douches collectives'!B26,IF(G3="Semi Instantanée",'calcul douches collectives'!B28,""))</f>
        <v>441.00000000000006</v>
      </c>
      <c r="C22" s="153"/>
      <c r="D22" s="153"/>
      <c r="E22" s="153"/>
      <c r="F22" s="153"/>
      <c r="G22" s="153"/>
      <c r="H22" s="153"/>
      <c r="I22" s="153"/>
      <c r="J22" s="153"/>
      <c r="K22" s="153"/>
      <c r="L22" s="153"/>
      <c r="M22" s="153"/>
    </row>
    <row r="23" spans="1:14" x14ac:dyDescent="0.2">
      <c r="A23" s="153"/>
      <c r="B23" s="153"/>
      <c r="C23" s="153"/>
      <c r="D23" s="153"/>
      <c r="E23" s="153"/>
      <c r="F23" s="153"/>
      <c r="G23" s="153"/>
      <c r="H23" s="153"/>
      <c r="I23" s="153"/>
      <c r="J23" s="153"/>
      <c r="K23" s="153"/>
      <c r="L23" s="153"/>
      <c r="M23" s="153"/>
    </row>
    <row r="24" spans="1:14" x14ac:dyDescent="0.2">
      <c r="A24" s="153"/>
      <c r="B24" s="153"/>
      <c r="C24" s="153"/>
      <c r="D24" s="153"/>
      <c r="E24" s="153"/>
      <c r="F24" s="153"/>
      <c r="G24" s="153"/>
      <c r="H24" s="153"/>
      <c r="I24" s="153"/>
      <c r="J24" s="153"/>
      <c r="K24" s="153"/>
      <c r="L24" s="153"/>
      <c r="M24" s="153"/>
    </row>
    <row r="25" spans="1:14" x14ac:dyDescent="0.2">
      <c r="A25" s="157" t="s">
        <v>72</v>
      </c>
      <c r="B25" s="153"/>
      <c r="C25" s="153"/>
      <c r="D25" s="153"/>
      <c r="E25" s="377" t="str">
        <f>IF(G3="Instantanée","Calculs Puissance d'appel","")</f>
        <v>Calculs Puissance d'appel</v>
      </c>
      <c r="F25" s="378"/>
      <c r="G25" s="378"/>
      <c r="H25" s="153"/>
      <c r="I25" s="153"/>
      <c r="J25" s="153"/>
      <c r="K25" s="153"/>
      <c r="L25" s="153"/>
      <c r="M25" s="153"/>
    </row>
    <row r="26" spans="1:14" x14ac:dyDescent="0.2">
      <c r="A26" s="298" t="str">
        <f>IF(G3="Instantanée","TransTherm",IF(G3="Semi Instantanée","TansTherm",""))</f>
        <v>TransTherm</v>
      </c>
      <c r="B26" s="388" t="str">
        <f>(IF(G3="Instantanée",'calcul douches collectives'!B39,(IF(G3="Semi Instantanée",'calcul douches collectives'!B45,""))))</f>
        <v>F-GSWT (500)</v>
      </c>
      <c r="C26" s="376"/>
      <c r="D26" s="153"/>
      <c r="E26" s="375" t="str">
        <f>IF(E25="Calculs Puissance d'appel","saisie Volume Ballon Primaire en L","")</f>
        <v>saisie Volume Ballon Primaire en L</v>
      </c>
      <c r="F26" s="376"/>
      <c r="G26" s="376"/>
      <c r="H26" s="303">
        <v>1000</v>
      </c>
      <c r="I26" s="153"/>
      <c r="J26" s="153"/>
      <c r="K26" s="153"/>
      <c r="L26" s="153"/>
      <c r="M26" s="153"/>
    </row>
    <row r="27" spans="1:14" x14ac:dyDescent="0.2">
      <c r="A27" s="298" t="str">
        <f>IF(G3="Instantanée","Ballon EnerVal",IF(G3="Semi Instantanée","Ballon CombiVal",""))</f>
        <v>Ballon EnerVal</v>
      </c>
      <c r="B27" s="375" t="str">
        <f>(IF(G3="Instantanée",'calcul douches collectives'!B40,(IF(G3="Semi Instantanée",'calcul douches collectives'!B46,""))))</f>
        <v>1500 L</v>
      </c>
      <c r="C27" s="376"/>
      <c r="D27" s="153"/>
      <c r="E27" s="375" t="str">
        <f>IF(E25="Calculs Puissance d'Appel",'calcul douches collectives'!A54,"")</f>
        <v>Puissance d'appel (en kW)</v>
      </c>
      <c r="F27" s="376"/>
      <c r="G27" s="376"/>
      <c r="H27" s="154">
        <f>IF(E25="Calculs Puissance d'appel",'calcul douches collectives'!B54,"")</f>
        <v>389.25581395348843</v>
      </c>
      <c r="I27" s="153"/>
      <c r="J27" s="153"/>
      <c r="K27" s="153"/>
      <c r="L27" s="153"/>
      <c r="M27" s="153"/>
    </row>
    <row r="28" spans="1:14" x14ac:dyDescent="0.2">
      <c r="A28" s="153"/>
      <c r="B28" s="153"/>
      <c r="C28" s="153"/>
      <c r="D28" s="153"/>
      <c r="E28" s="375" t="str">
        <f>IF(E25="Calculs Puissance d'Appel",'calcul douches collectives'!A55,"")</f>
        <v>Débit primaire en m3/h</v>
      </c>
      <c r="F28" s="376"/>
      <c r="G28" s="376"/>
      <c r="H28" s="154">
        <f>IF(E25="Calculs Puissance d'appel",'calcul douches collectives'!B55,"")</f>
        <v>8.3891339214113891</v>
      </c>
      <c r="I28" s="153"/>
      <c r="J28" s="153"/>
      <c r="K28" s="153"/>
      <c r="L28" s="153"/>
      <c r="M28" s="153"/>
    </row>
    <row r="29" spans="1:14" x14ac:dyDescent="0.2">
      <c r="A29" s="153"/>
      <c r="B29" s="153"/>
      <c r="C29" s="153"/>
      <c r="D29" s="153"/>
      <c r="E29" s="153"/>
      <c r="F29" s="153"/>
      <c r="G29" s="153"/>
      <c r="H29" s="153"/>
      <c r="I29" s="153"/>
      <c r="J29" s="153"/>
      <c r="K29" s="153"/>
      <c r="L29" s="153"/>
      <c r="M29" s="153"/>
    </row>
    <row r="30" spans="1:14" x14ac:dyDescent="0.2">
      <c r="A30" s="153"/>
      <c r="B30" s="153"/>
      <c r="C30" s="153"/>
      <c r="D30" s="153"/>
      <c r="E30" s="153"/>
      <c r="F30" s="153"/>
      <c r="G30" s="153"/>
      <c r="H30" s="153"/>
      <c r="I30" s="153"/>
      <c r="J30" s="153"/>
      <c r="K30" s="153"/>
      <c r="L30" s="153"/>
      <c r="M30" s="153"/>
    </row>
    <row r="31" spans="1:14" x14ac:dyDescent="0.2">
      <c r="A31" s="385" t="s">
        <v>174</v>
      </c>
      <c r="B31" s="386"/>
      <c r="C31" s="386"/>
      <c r="D31" s="386"/>
      <c r="E31" s="386"/>
      <c r="F31" s="386"/>
      <c r="G31" s="386"/>
      <c r="H31" s="386"/>
      <c r="I31" s="386"/>
      <c r="J31" s="386"/>
      <c r="K31" s="386"/>
      <c r="L31" s="153"/>
      <c r="M31" s="153"/>
    </row>
    <row r="32" spans="1:14" x14ac:dyDescent="0.2">
      <c r="A32" s="386"/>
      <c r="B32" s="386"/>
      <c r="C32" s="386"/>
      <c r="D32" s="386"/>
      <c r="E32" s="386"/>
      <c r="F32" s="386"/>
      <c r="G32" s="386"/>
      <c r="H32" s="386"/>
      <c r="I32" s="386"/>
      <c r="J32" s="386"/>
      <c r="K32" s="386"/>
      <c r="L32" s="153"/>
      <c r="M32" s="153"/>
      <c r="N32" s="175"/>
    </row>
    <row r="33" spans="1:11" x14ac:dyDescent="0.2">
      <c r="A33" s="386"/>
      <c r="B33" s="386"/>
      <c r="C33" s="386"/>
      <c r="D33" s="386"/>
      <c r="E33" s="386"/>
      <c r="F33" s="386"/>
      <c r="G33" s="386"/>
      <c r="H33" s="386"/>
      <c r="I33" s="386"/>
      <c r="J33" s="386"/>
      <c r="K33" s="386"/>
    </row>
    <row r="34" spans="1:11" x14ac:dyDescent="0.2">
      <c r="A34" s="386"/>
      <c r="B34" s="386"/>
      <c r="C34" s="386"/>
      <c r="D34" s="386"/>
      <c r="E34" s="386"/>
      <c r="F34" s="386"/>
      <c r="G34" s="386"/>
      <c r="H34" s="386"/>
      <c r="I34" s="386"/>
      <c r="J34" s="386"/>
      <c r="K34" s="386"/>
    </row>
    <row r="35" spans="1:11" x14ac:dyDescent="0.2">
      <c r="A35" s="386"/>
      <c r="B35" s="386"/>
      <c r="C35" s="386"/>
      <c r="D35" s="386"/>
      <c r="E35" s="386"/>
      <c r="F35" s="386"/>
      <c r="G35" s="386"/>
      <c r="H35" s="386"/>
      <c r="I35" s="386"/>
      <c r="J35" s="386"/>
      <c r="K35" s="386"/>
    </row>
  </sheetData>
  <sheetProtection algorithmName="SHA-512" hashValue="n7pLHoIncYZt2adQlNUxeV9oPufZb+WJNctGMAA+cUyP52/aPn7m6k1xS9FUJaYtOiANF3ysmaQ2hQVEVJ/EZQ==" saltValue="Jepz4dfjRgEYD7b5SYHS9g==" spinCount="100000" sheet="1" objects="1" scenarios="1"/>
  <mergeCells count="16">
    <mergeCell ref="A31:K35"/>
    <mergeCell ref="J3:K3"/>
    <mergeCell ref="D9:D10"/>
    <mergeCell ref="B26:C26"/>
    <mergeCell ref="E26:G26"/>
    <mergeCell ref="B27:C27"/>
    <mergeCell ref="E27:G27"/>
    <mergeCell ref="E28:G28"/>
    <mergeCell ref="A3:B3"/>
    <mergeCell ref="D3:F3"/>
    <mergeCell ref="G3:H3"/>
    <mergeCell ref="A15:B15"/>
    <mergeCell ref="E25:G25"/>
    <mergeCell ref="A11:B11"/>
    <mergeCell ref="A12:B12"/>
    <mergeCell ref="C9:C10"/>
  </mergeCells>
  <pageMargins left="0.78740157499999996" right="0.78740157499999996" top="0.984251969" bottom="0.984251969" header="0.4921259845" footer="0.4921259845"/>
  <pageSetup paperSize="9" scale="86" fitToHeight="0"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bases!$L$4:$N$4</xm:f>
          </x14:formula1>
          <xm:sqref>C15</xm:sqref>
        </x14:dataValidation>
        <x14:dataValidation type="list" allowBlank="1" showInputMessage="1" showErrorMessage="1" xr:uid="{00000000-0002-0000-0400-000001000000}">
          <x14:formula1>
            <xm:f>bases!$H$4:$J$4</xm:f>
          </x14:formula1>
          <xm:sqref>G3:H3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9"/>
  <dimension ref="A3:H55"/>
  <sheetViews>
    <sheetView topLeftCell="A34" workbookViewId="0">
      <selection activeCell="B55" sqref="B55"/>
    </sheetView>
  </sheetViews>
  <sheetFormatPr baseColWidth="10" defaultColWidth="11.42578125" defaultRowHeight="12.75" x14ac:dyDescent="0.2"/>
  <cols>
    <col min="1" max="1" width="24.5703125" style="152" customWidth="1"/>
    <col min="2" max="16384" width="11.42578125" style="152"/>
  </cols>
  <sheetData>
    <row r="3" spans="1:5" x14ac:dyDescent="0.2">
      <c r="C3" s="175"/>
    </row>
    <row r="4" spans="1:5" x14ac:dyDescent="0.2">
      <c r="C4" s="175"/>
    </row>
    <row r="5" spans="1:5" x14ac:dyDescent="0.2">
      <c r="C5" s="175"/>
    </row>
    <row r="6" spans="1:5" x14ac:dyDescent="0.2">
      <c r="C6" s="175"/>
    </row>
    <row r="7" spans="1:5" x14ac:dyDescent="0.2">
      <c r="C7" s="175"/>
    </row>
    <row r="8" spans="1:5" x14ac:dyDescent="0.2">
      <c r="C8" s="175"/>
    </row>
    <row r="9" spans="1:5" x14ac:dyDescent="0.2">
      <c r="C9" s="175"/>
    </row>
    <row r="10" spans="1:5" x14ac:dyDescent="0.2">
      <c r="A10" s="160"/>
      <c r="B10" s="369" t="s">
        <v>78</v>
      </c>
      <c r="C10" s="387"/>
      <c r="D10" s="387"/>
      <c r="E10" s="387"/>
    </row>
    <row r="11" spans="1:5" x14ac:dyDescent="0.2">
      <c r="A11" s="160"/>
      <c r="B11" s="369"/>
      <c r="C11" s="387"/>
      <c r="D11" s="387"/>
      <c r="E11" s="387"/>
    </row>
    <row r="12" spans="1:5" x14ac:dyDescent="0.2">
      <c r="A12" s="173" t="s">
        <v>105</v>
      </c>
      <c r="B12" s="250">
        <f>'DOUCHES COLLECTIVES'!C11</f>
        <v>35</v>
      </c>
      <c r="C12" s="251"/>
      <c r="D12" s="160"/>
      <c r="E12" s="160"/>
    </row>
    <row r="13" spans="1:5" x14ac:dyDescent="0.2">
      <c r="A13" s="174" t="s">
        <v>104</v>
      </c>
      <c r="B13" s="250">
        <f>'DOUCHES COLLECTIVES'!C12</f>
        <v>1</v>
      </c>
      <c r="C13" s="251"/>
      <c r="D13" s="160"/>
      <c r="E13" s="160"/>
    </row>
    <row r="14" spans="1:5" x14ac:dyDescent="0.2">
      <c r="A14" s="173" t="s">
        <v>157</v>
      </c>
      <c r="B14" s="250">
        <f>IF('DOUCHES COLLECTIVES'!C15="Temporisé",4,IF('DOUCHES COLLECTIVES'!C15="standard",4.9,IF('DOUCHES COLLECTIVES'!C15="choisir type robinet","")))</f>
        <v>4</v>
      </c>
      <c r="C14" s="251"/>
      <c r="D14" s="160"/>
      <c r="E14" s="160"/>
    </row>
    <row r="15" spans="1:5" x14ac:dyDescent="0.2">
      <c r="A15" s="173" t="s">
        <v>102</v>
      </c>
      <c r="B15" s="250">
        <v>50</v>
      </c>
      <c r="C15" s="251"/>
      <c r="D15" s="160"/>
      <c r="E15" s="160"/>
    </row>
    <row r="16" spans="1:5" x14ac:dyDescent="0.2">
      <c r="A16" s="173" t="s">
        <v>101</v>
      </c>
      <c r="B16" s="250">
        <f>IF(B12&lt;20,1,IF(B12&lt;40,0.9,0.8))</f>
        <v>0.9</v>
      </c>
      <c r="C16" s="251"/>
      <c r="D16" s="160"/>
      <c r="E16" s="160"/>
    </row>
    <row r="17" spans="1:5" x14ac:dyDescent="0.2">
      <c r="D17" s="175"/>
      <c r="E17" s="175"/>
    </row>
    <row r="18" spans="1:5" x14ac:dyDescent="0.2">
      <c r="A18" s="171"/>
      <c r="D18" s="175"/>
      <c r="E18" s="175"/>
    </row>
    <row r="19" spans="1:5" ht="25.5" x14ac:dyDescent="0.2">
      <c r="A19" s="170" t="s">
        <v>148</v>
      </c>
      <c r="B19" s="152">
        <f>B12*B14*B16</f>
        <v>126</v>
      </c>
      <c r="D19" s="175"/>
      <c r="E19" s="175"/>
    </row>
    <row r="20" spans="1:5" x14ac:dyDescent="0.2">
      <c r="A20" s="170"/>
      <c r="D20" s="175"/>
      <c r="E20" s="175"/>
    </row>
    <row r="21" spans="1:5" x14ac:dyDescent="0.2">
      <c r="D21" s="175"/>
      <c r="E21" s="175"/>
    </row>
    <row r="22" spans="1:5" ht="25.5" x14ac:dyDescent="0.2">
      <c r="A22" s="170" t="s">
        <v>97</v>
      </c>
      <c r="B22" s="152">
        <f>B19*10</f>
        <v>1260</v>
      </c>
      <c r="D22" s="175"/>
      <c r="E22" s="175"/>
    </row>
    <row r="23" spans="1:5" x14ac:dyDescent="0.2">
      <c r="D23" s="175"/>
      <c r="E23" s="175"/>
    </row>
    <row r="24" spans="1:5" ht="25.5" x14ac:dyDescent="0.2">
      <c r="A24" s="170" t="s">
        <v>98</v>
      </c>
      <c r="B24" s="152">
        <f>B22*B13</f>
        <v>1260</v>
      </c>
      <c r="D24" s="175"/>
      <c r="E24" s="175"/>
    </row>
    <row r="25" spans="1:5" x14ac:dyDescent="0.2">
      <c r="D25" s="175"/>
      <c r="E25" s="175"/>
    </row>
    <row r="26" spans="1:5" x14ac:dyDescent="0.2">
      <c r="A26" s="165" t="s">
        <v>95</v>
      </c>
      <c r="B26" s="152">
        <f>(B19*60*50)*(4.2/3600)</f>
        <v>441.00000000000006</v>
      </c>
      <c r="D26" s="175"/>
      <c r="E26" s="175"/>
    </row>
    <row r="27" spans="1:5" x14ac:dyDescent="0.2">
      <c r="D27" s="175"/>
      <c r="E27" s="175"/>
    </row>
    <row r="28" spans="1:5" x14ac:dyDescent="0.2">
      <c r="A28" s="165" t="s">
        <v>94</v>
      </c>
      <c r="B28" s="164">
        <f>(B24*50)/860</f>
        <v>73.255813953488371</v>
      </c>
      <c r="D28" s="175"/>
      <c r="E28" s="175"/>
    </row>
    <row r="29" spans="1:5" x14ac:dyDescent="0.2">
      <c r="D29" s="175"/>
      <c r="E29" s="175"/>
    </row>
    <row r="30" spans="1:5" x14ac:dyDescent="0.2">
      <c r="D30" s="175"/>
      <c r="E30" s="175"/>
    </row>
    <row r="31" spans="1:5" ht="25.5" x14ac:dyDescent="0.2">
      <c r="A31" s="168" t="s">
        <v>93</v>
      </c>
      <c r="B31" s="152">
        <f>B22</f>
        <v>1260</v>
      </c>
      <c r="C31" s="152">
        <f>ROUNDDOWN(B31,-2)</f>
        <v>1200</v>
      </c>
      <c r="D31" s="175">
        <f>B31-C31</f>
        <v>60</v>
      </c>
      <c r="E31" s="175">
        <f>IF(D31&lt;50,ROUNDDOWN(B31,-2),ROUNDUP(B31,-2))</f>
        <v>1300</v>
      </c>
    </row>
    <row r="33" spans="1:8" ht="76.5" x14ac:dyDescent="0.2">
      <c r="A33" s="168" t="s">
        <v>92</v>
      </c>
      <c r="B33" s="169">
        <f>(((B26-B28)/(4.2/3600))/(60*50))*10</f>
        <v>1050.6976744186047</v>
      </c>
      <c r="C33" s="152">
        <f>ROUNDDOWN(B33,-2)</f>
        <v>1000</v>
      </c>
      <c r="D33" s="169">
        <f>B33-C33</f>
        <v>50.69767441860472</v>
      </c>
      <c r="E33" s="152">
        <f>IF(D33&lt;50,ROUNDDOWN(B33,-2),ROUNDUP(B33,-2))</f>
        <v>1100</v>
      </c>
      <c r="G33" s="168" t="s">
        <v>91</v>
      </c>
      <c r="H33" s="152">
        <f>IF(E33&lt;200,200,IF(AND(B22&gt;529,B28&gt;115,B28&lt;175),E33+200,IF(AND(B28&gt;175,B28&lt;230),E33+400,IF(AND(B28&gt;230),E33+600,E33))))</f>
        <v>1100</v>
      </c>
    </row>
    <row r="37" spans="1:8" x14ac:dyDescent="0.2">
      <c r="A37" s="165" t="s">
        <v>50</v>
      </c>
    </row>
    <row r="39" spans="1:8" x14ac:dyDescent="0.2">
      <c r="A39" s="165" t="s">
        <v>88</v>
      </c>
      <c r="B39" s="152" t="str">
        <f>IF(B26&lt;96,"F-GSWT(100)",IF(B26&lt;194,"F-GSWT (200)",IF(B26&lt;304,"F-GSWT (300)",IF(B26&lt;372,"F-GSWT (375)",IF(B26&lt;499,"F-GSWT (500)",IF(B26&lt;599,"F-GSWT (600)",IF(B26&lt;699,"F-GSWT (700)",IF(B26&lt;848,"F-GSWT (850)","PAS DE MODELE"))))))))</f>
        <v>F-GSWT (500)</v>
      </c>
    </row>
    <row r="40" spans="1:8" x14ac:dyDescent="0.2">
      <c r="A40" s="165" t="s">
        <v>90</v>
      </c>
      <c r="B40" s="152" t="str">
        <f>IF(B39="PAS DE MODELE","PAS DE MODELE",VLOOKUP(E31,bases!B3:C63,2))</f>
        <v>1500 L</v>
      </c>
    </row>
    <row r="43" spans="1:8" x14ac:dyDescent="0.2">
      <c r="A43" s="165" t="s">
        <v>89</v>
      </c>
    </row>
    <row r="45" spans="1:8" x14ac:dyDescent="0.2">
      <c r="A45" s="165" t="s">
        <v>88</v>
      </c>
      <c r="B45" s="152" t="str">
        <f>IF(B28&lt;50,"aqua L (10)",IF(B28&lt;90,"aqua L (16)",IF(B28&lt;115,"aqua L (20)",IF(B28&lt;175,"aqua L (30)",IF(B28&lt;230,"aqua L (40)",IF(B28&lt;275,"aqua L (50)","PAS DE MODELE"))))))</f>
        <v>aqua L (16)</v>
      </c>
    </row>
    <row r="46" spans="1:8" x14ac:dyDescent="0.2">
      <c r="A46" s="165" t="s">
        <v>87</v>
      </c>
      <c r="B46" s="152" t="str">
        <f>IF(B45="PAS DE MODELE","PAS DE MODELE",VLOOKUP(H33,bases!E3:F23,2))</f>
        <v>1000 L</v>
      </c>
    </row>
    <row r="48" spans="1:8" ht="25.5" x14ac:dyDescent="0.2">
      <c r="A48" s="168" t="s">
        <v>86</v>
      </c>
    </row>
    <row r="50" spans="1:7" x14ac:dyDescent="0.2">
      <c r="A50" s="272" t="s">
        <v>85</v>
      </c>
      <c r="B50" s="272">
        <f>2*B24</f>
        <v>2520</v>
      </c>
      <c r="D50" s="394" t="s">
        <v>84</v>
      </c>
      <c r="E50" s="394"/>
      <c r="F50" s="394"/>
      <c r="G50" s="167">
        <f>1.5*B24</f>
        <v>1890</v>
      </c>
    </row>
    <row r="51" spans="1:7" x14ac:dyDescent="0.2">
      <c r="A51" s="165" t="s">
        <v>83</v>
      </c>
      <c r="B51" s="152">
        <f>'DOUCHES COLLECTIVES'!H26</f>
        <v>1000</v>
      </c>
    </row>
    <row r="53" spans="1:7" x14ac:dyDescent="0.2">
      <c r="A53" s="167" t="s">
        <v>199</v>
      </c>
      <c r="B53" s="177">
        <f>IF(B51&gt;B24,"ERREUR - Volume Tampon trop important",((G50-B51)*50)/860)</f>
        <v>51.744186046511629</v>
      </c>
    </row>
    <row r="54" spans="1:7" x14ac:dyDescent="0.2">
      <c r="A54" s="167" t="s">
        <v>82</v>
      </c>
      <c r="B54" s="177">
        <f>IF(B51&lt;(0.4*B22),(B26-((B51*50)/860)),(B26-B53))</f>
        <v>389.25581395348843</v>
      </c>
    </row>
    <row r="55" spans="1:7" x14ac:dyDescent="0.2">
      <c r="A55" s="165" t="s">
        <v>81</v>
      </c>
      <c r="B55" s="164">
        <f>(B54/1.16)/40</f>
        <v>8.3891339214113891</v>
      </c>
    </row>
  </sheetData>
  <mergeCells count="5">
    <mergeCell ref="B10:B11"/>
    <mergeCell ref="C10:C11"/>
    <mergeCell ref="D10:D11"/>
    <mergeCell ref="E10:E11"/>
    <mergeCell ref="D50:F50"/>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10"/>
  <dimension ref="A1:M36"/>
  <sheetViews>
    <sheetView showGridLines="0" view="pageLayout" zoomScaleNormal="90" workbookViewId="0">
      <selection activeCell="E3" sqref="E3:F6"/>
    </sheetView>
  </sheetViews>
  <sheetFormatPr baseColWidth="10" defaultColWidth="11.42578125" defaultRowHeight="12.75" x14ac:dyDescent="0.2"/>
  <cols>
    <col min="1" max="1" width="22.7109375" style="152" customWidth="1"/>
    <col min="2" max="4" width="11.42578125" style="152"/>
    <col min="5" max="5" width="11.85546875" style="152" customWidth="1"/>
    <col min="6" max="16384" width="11.42578125" style="152"/>
  </cols>
  <sheetData>
    <row r="1" spans="1:13" x14ac:dyDescent="0.2">
      <c r="A1" s="153"/>
      <c r="B1" s="153"/>
      <c r="C1" s="153"/>
      <c r="D1" s="153"/>
      <c r="E1" s="153"/>
      <c r="F1" s="153"/>
      <c r="G1" s="153"/>
      <c r="H1" s="153"/>
      <c r="I1" s="153"/>
      <c r="J1" s="153"/>
      <c r="K1" s="153"/>
      <c r="L1" s="153"/>
      <c r="M1" s="153"/>
    </row>
    <row r="2" spans="1:13" x14ac:dyDescent="0.2">
      <c r="A2" s="153"/>
      <c r="B2" s="153"/>
      <c r="C2" s="153"/>
      <c r="D2" s="153"/>
      <c r="E2" s="153"/>
      <c r="F2" s="153"/>
      <c r="G2" s="153"/>
      <c r="H2" s="153"/>
      <c r="I2" s="153"/>
      <c r="J2" s="153"/>
      <c r="K2" s="153"/>
      <c r="L2" s="153"/>
      <c r="M2" s="153"/>
    </row>
    <row r="3" spans="1:13" x14ac:dyDescent="0.2">
      <c r="A3" s="157" t="s">
        <v>80</v>
      </c>
      <c r="B3" s="363" t="s">
        <v>79</v>
      </c>
      <c r="C3" s="355"/>
      <c r="D3" s="355"/>
      <c r="E3" s="347" t="s">
        <v>59</v>
      </c>
      <c r="F3" s="348"/>
      <c r="G3" s="153"/>
      <c r="H3" s="153"/>
      <c r="I3" s="153"/>
      <c r="J3" s="153"/>
      <c r="K3" s="153"/>
      <c r="L3" s="153"/>
      <c r="M3" s="153"/>
    </row>
    <row r="4" spans="1:13" ht="15" x14ac:dyDescent="0.25">
      <c r="A4" s="153"/>
      <c r="B4" s="363" t="s">
        <v>132</v>
      </c>
      <c r="C4" s="355"/>
      <c r="D4" s="355"/>
      <c r="E4" s="408">
        <v>2</v>
      </c>
      <c r="F4" s="409"/>
      <c r="G4" s="153"/>
      <c r="H4" s="153"/>
      <c r="I4" s="153"/>
      <c r="J4" s="362"/>
      <c r="K4" s="362"/>
      <c r="L4" s="153"/>
      <c r="M4" s="153"/>
    </row>
    <row r="5" spans="1:13" x14ac:dyDescent="0.2">
      <c r="A5" s="153"/>
      <c r="B5" s="153"/>
      <c r="C5" s="153"/>
      <c r="D5" s="153"/>
      <c r="E5" s="153"/>
      <c r="F5" s="153"/>
      <c r="G5" s="153"/>
      <c r="H5" s="153"/>
      <c r="I5" s="153"/>
      <c r="J5" s="163"/>
      <c r="K5" s="163"/>
      <c r="L5" s="153"/>
      <c r="M5" s="153"/>
    </row>
    <row r="6" spans="1:13" x14ac:dyDescent="0.2">
      <c r="A6" s="153"/>
      <c r="B6" s="153"/>
      <c r="C6" s="153"/>
      <c r="D6" s="153"/>
      <c r="E6" s="153"/>
      <c r="F6" s="153"/>
      <c r="G6" s="153"/>
      <c r="H6" s="153"/>
      <c r="I6" s="153"/>
      <c r="J6" s="153"/>
      <c r="K6" s="153"/>
      <c r="L6" s="153"/>
      <c r="M6" s="153"/>
    </row>
    <row r="7" spans="1:13" x14ac:dyDescent="0.2">
      <c r="A7" s="153"/>
      <c r="B7" s="153"/>
      <c r="C7" s="153"/>
      <c r="D7" s="153"/>
      <c r="E7" s="153"/>
      <c r="F7" s="153"/>
      <c r="G7" s="153"/>
      <c r="H7" s="153"/>
      <c r="I7" s="153"/>
      <c r="J7" s="153"/>
      <c r="K7" s="153"/>
      <c r="L7" s="153"/>
      <c r="M7" s="153"/>
    </row>
    <row r="8" spans="1:13" x14ac:dyDescent="0.2">
      <c r="A8" s="398" t="s">
        <v>74</v>
      </c>
      <c r="B8" s="401">
        <v>200</v>
      </c>
      <c r="C8" s="387"/>
      <c r="D8" s="387"/>
      <c r="E8" s="387"/>
      <c r="F8" s="153"/>
      <c r="G8" s="153"/>
      <c r="H8" s="153"/>
      <c r="I8" s="153"/>
      <c r="J8" s="153"/>
      <c r="K8" s="153"/>
      <c r="L8" s="153"/>
      <c r="M8" s="153"/>
    </row>
    <row r="9" spans="1:13" ht="12.75" customHeight="1" x14ac:dyDescent="0.2">
      <c r="A9" s="399"/>
      <c r="B9" s="399"/>
      <c r="C9" s="387"/>
      <c r="D9" s="387"/>
      <c r="E9" s="387"/>
      <c r="F9" s="153"/>
      <c r="G9" s="153"/>
      <c r="H9" s="153"/>
      <c r="I9" s="153"/>
      <c r="J9" s="153"/>
      <c r="K9" s="153"/>
      <c r="L9" s="153"/>
      <c r="M9" s="153"/>
    </row>
    <row r="10" spans="1:13" x14ac:dyDescent="0.2">
      <c r="A10" s="400"/>
      <c r="B10" s="400"/>
      <c r="C10" s="256"/>
      <c r="D10" s="256"/>
      <c r="E10" s="256"/>
      <c r="F10" s="153"/>
      <c r="G10" s="153"/>
      <c r="H10" s="153"/>
      <c r="I10" s="153"/>
      <c r="J10" s="153"/>
      <c r="K10" s="153"/>
      <c r="L10" s="153"/>
      <c r="M10" s="153"/>
    </row>
    <row r="11" spans="1:13" x14ac:dyDescent="0.2">
      <c r="A11" s="162"/>
      <c r="B11" s="161"/>
      <c r="C11" s="161"/>
      <c r="D11" s="161"/>
      <c r="E11" s="161"/>
      <c r="F11" s="153"/>
      <c r="G11" s="153"/>
      <c r="H11" s="153"/>
      <c r="I11" s="153"/>
      <c r="J11" s="153"/>
      <c r="K11" s="153"/>
      <c r="L11" s="153"/>
      <c r="M11" s="153"/>
    </row>
    <row r="12" spans="1:13" x14ac:dyDescent="0.2">
      <c r="A12" s="162"/>
      <c r="B12" s="161"/>
      <c r="C12" s="161"/>
      <c r="D12" s="161"/>
      <c r="E12" s="161"/>
      <c r="F12" s="153"/>
      <c r="G12" s="153"/>
      <c r="H12" s="153"/>
      <c r="I12" s="153"/>
      <c r="J12" s="153"/>
      <c r="K12" s="153"/>
      <c r="L12" s="153"/>
      <c r="M12" s="153"/>
    </row>
    <row r="13" spans="1:13" x14ac:dyDescent="0.2">
      <c r="A13" s="397" t="s">
        <v>73</v>
      </c>
      <c r="B13" s="397"/>
      <c r="C13" s="397"/>
      <c r="D13" s="397"/>
      <c r="E13" s="397"/>
      <c r="F13" s="160"/>
      <c r="G13" s="153"/>
      <c r="H13" s="153"/>
      <c r="I13" s="153"/>
      <c r="J13" s="153"/>
      <c r="K13" s="153"/>
      <c r="L13" s="153"/>
      <c r="M13" s="153"/>
    </row>
    <row r="14" spans="1:13" x14ac:dyDescent="0.2">
      <c r="A14" s="153"/>
      <c r="B14" s="153"/>
      <c r="C14" s="153"/>
      <c r="D14" s="153"/>
      <c r="E14" s="153"/>
      <c r="F14" s="153"/>
      <c r="G14" s="153"/>
      <c r="H14" s="153"/>
      <c r="I14" s="153"/>
      <c r="J14" s="153"/>
      <c r="K14" s="153"/>
      <c r="L14" s="153"/>
      <c r="M14" s="153"/>
    </row>
    <row r="15" spans="1:13" x14ac:dyDescent="0.2">
      <c r="A15" s="153"/>
      <c r="B15" s="153"/>
      <c r="C15" s="153"/>
      <c r="D15" s="153"/>
      <c r="E15" s="153"/>
      <c r="F15" s="153"/>
      <c r="G15" s="153"/>
      <c r="H15" s="153"/>
      <c r="I15" s="153"/>
      <c r="J15" s="153"/>
      <c r="K15" s="153"/>
      <c r="L15" s="153"/>
      <c r="M15" s="153"/>
    </row>
    <row r="16" spans="1:13" x14ac:dyDescent="0.2">
      <c r="A16" s="153"/>
      <c r="B16" s="153"/>
      <c r="C16" s="153"/>
      <c r="D16" s="153"/>
      <c r="E16" s="153"/>
      <c r="F16" s="153"/>
      <c r="G16" s="153"/>
      <c r="H16" s="153"/>
      <c r="I16" s="153"/>
      <c r="J16" s="153"/>
      <c r="K16" s="153"/>
      <c r="L16" s="153"/>
      <c r="M16" s="153"/>
    </row>
    <row r="17" spans="1:13" x14ac:dyDescent="0.2">
      <c r="A17" s="157" t="s">
        <v>64</v>
      </c>
      <c r="B17" s="153"/>
      <c r="C17" s="153"/>
      <c r="D17" s="153"/>
      <c r="E17" s="153"/>
      <c r="F17" s="153"/>
      <c r="G17" s="153"/>
      <c r="H17" s="153"/>
      <c r="I17" s="153"/>
      <c r="J17" s="153"/>
      <c r="K17" s="153"/>
      <c r="L17" s="153"/>
      <c r="M17" s="153"/>
    </row>
    <row r="18" spans="1:13" ht="25.5" x14ac:dyDescent="0.2">
      <c r="A18" s="159" t="str">
        <f>(IF(OR(E3="Instantanée",E3="Semi Instantanée"),'calculs camping2'!B22,""))</f>
        <v>BECS 10 min en L à Delta T 50°C</v>
      </c>
      <c r="B18" s="154">
        <f>IF(A18="","",'calculs camping2'!D18:D19)</f>
        <v>61.142857142857139</v>
      </c>
      <c r="C18" s="153"/>
      <c r="D18" s="153"/>
      <c r="E18" s="153"/>
      <c r="F18" s="153"/>
      <c r="G18" s="153"/>
      <c r="H18" s="153"/>
      <c r="I18" s="153"/>
      <c r="J18" s="153"/>
      <c r="K18" s="153"/>
      <c r="L18" s="153"/>
      <c r="M18" s="153"/>
    </row>
    <row r="19" spans="1:13" ht="25.5" x14ac:dyDescent="0.2">
      <c r="A19" s="159" t="str">
        <f>(IF(OR(E3="Instantanée",E3="Semi Instantanée"),'calculs camping2'!B24,""))</f>
        <v>BECS horaire en L à Delta T 50°C</v>
      </c>
      <c r="B19" s="154">
        <f>IF(A19="","",'calculs camping2'!D24)</f>
        <v>2445.7142857142853</v>
      </c>
      <c r="C19" s="153"/>
      <c r="D19" s="153"/>
      <c r="E19" s="153"/>
      <c r="F19" s="153"/>
      <c r="G19" s="153"/>
      <c r="H19" s="153"/>
      <c r="I19" s="153"/>
      <c r="J19" s="153"/>
      <c r="K19" s="153"/>
      <c r="L19" s="153"/>
      <c r="M19" s="153"/>
    </row>
    <row r="20" spans="1:13" ht="25.5" x14ac:dyDescent="0.2">
      <c r="A20" s="159" t="str">
        <f>IF(E3="Instantanée","Puissance calculée en kW",IF(E3="Semi Instantanée","Puissance calculée en kW",""))</f>
        <v>Puissance calculée en kW</v>
      </c>
      <c r="B20" s="158">
        <f>IF(E3="Instantanée",'calculs camping2'!D14,IF(E3="Semi Instantanée",'calculs camping2'!D27,""))</f>
        <v>142.19269102990032</v>
      </c>
      <c r="C20" s="153"/>
      <c r="D20" s="153"/>
      <c r="E20" s="153"/>
      <c r="F20" s="153"/>
      <c r="G20" s="153"/>
      <c r="H20" s="153"/>
      <c r="I20" s="153"/>
      <c r="J20" s="153"/>
      <c r="K20" s="153"/>
      <c r="L20" s="153"/>
      <c r="M20" s="153"/>
    </row>
    <row r="21" spans="1:13" x14ac:dyDescent="0.2">
      <c r="A21" s="153"/>
      <c r="B21" s="153"/>
      <c r="C21" s="153"/>
      <c r="D21" s="153"/>
      <c r="E21" s="153"/>
      <c r="F21" s="153"/>
      <c r="G21" s="153"/>
      <c r="H21" s="153"/>
      <c r="I21" s="153"/>
      <c r="J21" s="153"/>
      <c r="K21" s="153"/>
      <c r="L21" s="153"/>
      <c r="M21" s="153"/>
    </row>
    <row r="22" spans="1:13" ht="12.75" customHeight="1" x14ac:dyDescent="0.2">
      <c r="A22" s="286"/>
      <c r="B22" s="153"/>
      <c r="C22" s="153"/>
      <c r="D22" s="153"/>
      <c r="E22" s="153"/>
      <c r="F22" s="153"/>
      <c r="G22" s="153"/>
      <c r="H22" s="153"/>
      <c r="I22" s="153"/>
      <c r="J22" s="153"/>
      <c r="K22" s="153"/>
      <c r="L22" s="153"/>
      <c r="M22" s="153"/>
    </row>
    <row r="23" spans="1:13" x14ac:dyDescent="0.2">
      <c r="A23" s="157" t="s">
        <v>72</v>
      </c>
      <c r="B23" s="153"/>
      <c r="C23" s="153"/>
      <c r="D23" s="153"/>
      <c r="E23" s="402" t="str">
        <f>IF(E3="Instantanée","Calculs Puissance d'appel","")</f>
        <v/>
      </c>
      <c r="F23" s="402"/>
      <c r="G23" s="402"/>
      <c r="H23" s="153"/>
      <c r="I23" s="153"/>
      <c r="J23" s="153"/>
      <c r="K23" s="153"/>
      <c r="L23" s="153"/>
      <c r="M23" s="153"/>
    </row>
    <row r="24" spans="1:13" ht="12.75" customHeight="1" x14ac:dyDescent="0.2">
      <c r="A24" s="155" t="str">
        <f>IF(E3="Instantanée","TransTherm",IF(E3="Semi Instantanée","TansTherm",""))</f>
        <v>TansTherm</v>
      </c>
      <c r="B24" s="406" t="str">
        <f>(IF(E3="Instantanée",'calculs camping2'!C37,(IF(E3="Semi Instantanée",'calculs camping2'!C42,""))))</f>
        <v>aqua L (30)</v>
      </c>
      <c r="C24" s="407"/>
      <c r="D24" s="153"/>
      <c r="E24" s="403" t="str">
        <f>IF(E23="Calculs Puissance d'appel","saisie Volume Ballon Primaire en L","")</f>
        <v/>
      </c>
      <c r="F24" s="404"/>
      <c r="G24" s="405"/>
      <c r="H24" s="156">
        <v>2000</v>
      </c>
      <c r="I24" s="153"/>
      <c r="J24" s="153"/>
      <c r="K24" s="153"/>
      <c r="L24" s="153"/>
      <c r="M24" s="153"/>
    </row>
    <row r="25" spans="1:13" x14ac:dyDescent="0.2">
      <c r="A25" s="155" t="str">
        <f>IF(E3="Instantanée","Ballon EnerVal",IF(E3="Semi Instantanée","Ballon CombiVal",""))</f>
        <v>Ballon CombiVal</v>
      </c>
      <c r="B25" s="403" t="str">
        <f>(IF(E3="Instantanée",'calculs camping2'!C38,(IF(E3="Semi Instantanée",'calculs camping2'!C43,""))))</f>
        <v>200 L</v>
      </c>
      <c r="C25" s="405"/>
      <c r="D25" s="153"/>
      <c r="E25" s="403" t="str">
        <f>IF(E23="Calculs Puissance d'Appel",'calculs camping2'!B53,"")</f>
        <v/>
      </c>
      <c r="F25" s="404"/>
      <c r="G25" s="405"/>
      <c r="H25" s="154" t="str">
        <f>IF(E23="Calculs Puissance d'appel",'calculs camping2'!C53,"")</f>
        <v/>
      </c>
      <c r="I25" s="153"/>
      <c r="J25" s="153"/>
      <c r="K25" s="153"/>
      <c r="L25" s="153"/>
      <c r="M25" s="153"/>
    </row>
    <row r="26" spans="1:13" x14ac:dyDescent="0.2">
      <c r="A26" s="153"/>
      <c r="B26" s="153"/>
      <c r="C26" s="153"/>
      <c r="D26" s="153"/>
      <c r="E26" s="403" t="str">
        <f>IF(E23="Calculs Puissance d'Appel",'calculs camping2'!B54,"")</f>
        <v/>
      </c>
      <c r="F26" s="404"/>
      <c r="G26" s="405"/>
      <c r="H26" s="154" t="str">
        <f>IF(E23="Calculs Puissance d'appel",'calculs camping2'!C54,"")</f>
        <v/>
      </c>
      <c r="I26" s="153"/>
      <c r="J26" s="153"/>
      <c r="K26" s="153"/>
      <c r="L26" s="153"/>
      <c r="M26" s="153"/>
    </row>
    <row r="27" spans="1:13" x14ac:dyDescent="0.2">
      <c r="A27" s="153"/>
      <c r="B27" s="153"/>
      <c r="C27" s="153"/>
      <c r="D27" s="153"/>
      <c r="E27" s="153"/>
      <c r="F27" s="153"/>
      <c r="G27" s="153"/>
      <c r="H27" s="153"/>
      <c r="I27" s="153"/>
      <c r="J27" s="153"/>
      <c r="K27" s="153"/>
      <c r="L27" s="153"/>
      <c r="M27" s="153"/>
    </row>
    <row r="28" spans="1:13" x14ac:dyDescent="0.2">
      <c r="A28" s="153"/>
      <c r="B28" s="153"/>
      <c r="C28" s="153"/>
      <c r="D28" s="153"/>
      <c r="E28" s="153"/>
      <c r="F28" s="153"/>
      <c r="G28" s="153"/>
      <c r="H28" s="153"/>
      <c r="I28" s="153"/>
      <c r="J28" s="153"/>
      <c r="K28" s="153"/>
      <c r="L28" s="153"/>
      <c r="M28" s="153"/>
    </row>
    <row r="29" spans="1:13" x14ac:dyDescent="0.2">
      <c r="A29" s="153"/>
      <c r="B29" s="153"/>
      <c r="C29" s="153"/>
      <c r="D29" s="153"/>
      <c r="E29" s="153"/>
      <c r="F29" s="153"/>
      <c r="G29" s="153"/>
      <c r="H29" s="153"/>
      <c r="I29" s="153"/>
      <c r="J29" s="153"/>
      <c r="K29" s="153"/>
      <c r="L29" s="153"/>
      <c r="M29" s="153"/>
    </row>
    <row r="30" spans="1:13" x14ac:dyDescent="0.2">
      <c r="A30" s="153"/>
      <c r="B30" s="153"/>
      <c r="C30" s="153"/>
      <c r="D30" s="153"/>
      <c r="E30" s="153"/>
      <c r="F30" s="153"/>
      <c r="G30" s="153"/>
      <c r="H30" s="153"/>
      <c r="I30" s="153"/>
      <c r="J30" s="153"/>
      <c r="K30" s="153"/>
      <c r="L30" s="153"/>
      <c r="M30" s="153"/>
    </row>
    <row r="31" spans="1:13" x14ac:dyDescent="0.2">
      <c r="A31" s="153"/>
      <c r="B31" s="153"/>
      <c r="C31" s="153"/>
      <c r="D31" s="153"/>
      <c r="E31" s="153"/>
      <c r="F31" s="153"/>
      <c r="G31" s="153"/>
      <c r="H31" s="153"/>
      <c r="I31" s="153"/>
      <c r="J31" s="153"/>
      <c r="K31" s="153"/>
      <c r="L31" s="153"/>
      <c r="M31" s="153"/>
    </row>
    <row r="32" spans="1:13" x14ac:dyDescent="0.2">
      <c r="A32" s="395"/>
      <c r="B32" s="396"/>
      <c r="C32" s="396"/>
      <c r="D32" s="396"/>
      <c r="E32" s="396"/>
      <c r="F32" s="396"/>
      <c r="G32" s="396"/>
      <c r="H32" s="396"/>
      <c r="I32" s="153"/>
      <c r="J32" s="153"/>
      <c r="K32" s="153"/>
      <c r="L32" s="153"/>
      <c r="M32" s="153"/>
    </row>
    <row r="33" spans="1:13" x14ac:dyDescent="0.2">
      <c r="A33" s="396"/>
      <c r="B33" s="396"/>
      <c r="C33" s="396"/>
      <c r="D33" s="396"/>
      <c r="E33" s="396"/>
      <c r="F33" s="396"/>
      <c r="G33" s="396"/>
      <c r="H33" s="396"/>
      <c r="I33" s="153"/>
      <c r="J33" s="153"/>
      <c r="K33" s="153"/>
      <c r="L33" s="153"/>
      <c r="M33" s="153"/>
    </row>
    <row r="34" spans="1:13" x14ac:dyDescent="0.2">
      <c r="A34" s="153"/>
      <c r="B34" s="153"/>
      <c r="C34" s="153"/>
      <c r="D34" s="153"/>
      <c r="E34" s="153"/>
      <c r="F34" s="153"/>
      <c r="G34" s="153"/>
      <c r="H34" s="153"/>
      <c r="I34" s="153"/>
      <c r="J34" s="153"/>
      <c r="K34" s="153"/>
      <c r="L34" s="153"/>
      <c r="M34" s="153"/>
    </row>
    <row r="35" spans="1:13" x14ac:dyDescent="0.2">
      <c r="A35" s="153"/>
      <c r="B35" s="153"/>
      <c r="C35" s="153"/>
      <c r="D35" s="153"/>
      <c r="E35" s="153"/>
      <c r="F35" s="153"/>
      <c r="G35" s="153"/>
      <c r="H35" s="153"/>
      <c r="I35" s="153"/>
      <c r="J35" s="153"/>
      <c r="K35" s="153"/>
      <c r="L35" s="153"/>
      <c r="M35" s="153"/>
    </row>
    <row r="36" spans="1:13" x14ac:dyDescent="0.2">
      <c r="A36" s="153"/>
      <c r="B36" s="153"/>
      <c r="C36" s="153"/>
      <c r="D36" s="153"/>
      <c r="E36" s="153"/>
      <c r="F36" s="153"/>
      <c r="G36" s="153"/>
      <c r="H36" s="153"/>
      <c r="I36" s="153"/>
      <c r="J36" s="153"/>
      <c r="K36" s="153"/>
      <c r="L36" s="153"/>
      <c r="M36" s="153"/>
    </row>
  </sheetData>
  <mergeCells count="18">
    <mergeCell ref="B3:D3"/>
    <mergeCell ref="E3:F3"/>
    <mergeCell ref="J4:K4"/>
    <mergeCell ref="B4:D4"/>
    <mergeCell ref="E4:F4"/>
    <mergeCell ref="A32:H33"/>
    <mergeCell ref="A13:E13"/>
    <mergeCell ref="A8:A10"/>
    <mergeCell ref="B8:B10"/>
    <mergeCell ref="E8:E9"/>
    <mergeCell ref="D8:D9"/>
    <mergeCell ref="C8:C9"/>
    <mergeCell ref="E23:G23"/>
    <mergeCell ref="E24:G24"/>
    <mergeCell ref="E25:G25"/>
    <mergeCell ref="E26:G26"/>
    <mergeCell ref="B24:C24"/>
    <mergeCell ref="B25:C25"/>
  </mergeCells>
  <pageMargins left="0.78740157499999996" right="0.78740157499999996" top="0.984251969" bottom="0.984251969" header="0.4921259845" footer="0.4921259845"/>
  <pageSetup paperSize="9" orientation="landscape" r:id="rId1"/>
  <headerFooter alignWithMargins="0">
    <oddHeader>&amp;C&amp;G</oddHeader>
    <oddFooter>&amp;C&amp;"-,Italique"&amp;K00+000N.B : Les préconisations sont données à titre indicatif pour une estimation d’avant-projet
En cas de réalisation de celui-ci un bureau d’études devra confirmer les paramètres de l’installation.</oddFooter>
  </headerFooter>
  <drawing r:id="rId2"/>
  <legacyDrawing r:id="rId3"/>
  <legacyDrawingHF r:id="rId4"/>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bases!$H$4:$J$4</xm:f>
          </x14:formula1>
          <xm:sqref>E3:F3</xm:sqref>
        </x14:dataValidation>
        <x14:dataValidation type="list" allowBlank="1" showInputMessage="1" showErrorMessage="1" xr:uid="{00000000-0002-0000-0600-000001000000}">
          <x14:formula1>
            <xm:f>bases!$M$18:$O$18</xm:f>
          </x14:formula1>
          <xm:sqref>E4:F4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11"/>
  <dimension ref="B2:I57"/>
  <sheetViews>
    <sheetView workbookViewId="0">
      <selection activeCell="C8" sqref="C8"/>
    </sheetView>
  </sheetViews>
  <sheetFormatPr baseColWidth="10" defaultColWidth="11.42578125" defaultRowHeight="12.75" x14ac:dyDescent="0.2"/>
  <cols>
    <col min="1" max="1" width="11.42578125" style="152"/>
    <col min="2" max="2" width="26.140625" style="152" customWidth="1"/>
    <col min="3" max="3" width="15.85546875" style="152" customWidth="1"/>
    <col min="4" max="7" width="11.42578125" style="152"/>
    <col min="8" max="8" width="25.28515625" style="152" customWidth="1"/>
    <col min="9" max="9" width="11.42578125" style="152" customWidth="1"/>
    <col min="10" max="16384" width="11.42578125" style="152"/>
  </cols>
  <sheetData>
    <row r="2" spans="2:6" ht="15" x14ac:dyDescent="0.25">
      <c r="C2" s="410" t="s">
        <v>156</v>
      </c>
      <c r="D2" s="411"/>
      <c r="E2" s="411"/>
    </row>
    <row r="5" spans="2:6" x14ac:dyDescent="0.2">
      <c r="B5" s="160"/>
      <c r="C5" s="369" t="s">
        <v>78</v>
      </c>
      <c r="D5" s="369" t="s">
        <v>77</v>
      </c>
      <c r="E5" s="369" t="s">
        <v>76</v>
      </c>
      <c r="F5" s="369" t="s">
        <v>75</v>
      </c>
    </row>
    <row r="6" spans="2:6" x14ac:dyDescent="0.2">
      <c r="B6" s="160"/>
      <c r="C6" s="369"/>
      <c r="D6" s="369"/>
      <c r="E6" s="369"/>
      <c r="F6" s="369"/>
    </row>
    <row r="7" spans="2:6" x14ac:dyDescent="0.2">
      <c r="B7" s="173" t="s">
        <v>105</v>
      </c>
      <c r="C7" s="172">
        <f>CAMPING!B8</f>
        <v>200</v>
      </c>
      <c r="D7" s="172">
        <f>CAMPING!C10</f>
        <v>0</v>
      </c>
      <c r="E7" s="172">
        <f>CAMPING!D10</f>
        <v>0</v>
      </c>
      <c r="F7" s="172">
        <f>CAMPING!E10</f>
        <v>0</v>
      </c>
    </row>
    <row r="8" spans="2:6" x14ac:dyDescent="0.2">
      <c r="B8" s="174" t="s">
        <v>104</v>
      </c>
      <c r="C8" s="172">
        <v>4</v>
      </c>
      <c r="D8" s="172">
        <v>4</v>
      </c>
      <c r="E8" s="172">
        <v>2</v>
      </c>
      <c r="F8" s="172">
        <v>2</v>
      </c>
    </row>
    <row r="9" spans="2:6" x14ac:dyDescent="0.2">
      <c r="B9" s="173" t="s">
        <v>103</v>
      </c>
      <c r="C9" s="172">
        <v>30</v>
      </c>
      <c r="D9" s="172">
        <v>9</v>
      </c>
      <c r="E9" s="172">
        <v>15</v>
      </c>
      <c r="F9" s="172">
        <v>40</v>
      </c>
    </row>
    <row r="10" spans="2:6" x14ac:dyDescent="0.2">
      <c r="B10" s="173" t="s">
        <v>102</v>
      </c>
      <c r="C10" s="172">
        <v>30</v>
      </c>
      <c r="D10" s="172">
        <v>30</v>
      </c>
      <c r="E10" s="172">
        <v>50</v>
      </c>
      <c r="F10" s="172">
        <v>40</v>
      </c>
    </row>
    <row r="11" spans="2:6" x14ac:dyDescent="0.2">
      <c r="B11" s="173" t="s">
        <v>101</v>
      </c>
      <c r="C11" s="172">
        <v>1</v>
      </c>
      <c r="D11" s="172">
        <v>1</v>
      </c>
      <c r="E11" s="172">
        <v>0.3</v>
      </c>
      <c r="F11" s="172">
        <v>0.2</v>
      </c>
    </row>
    <row r="13" spans="2:6" x14ac:dyDescent="0.2">
      <c r="B13" s="171" t="s">
        <v>24</v>
      </c>
      <c r="C13" s="152">
        <f>C7*C9*C11</f>
        <v>6000</v>
      </c>
      <c r="D13" s="152">
        <f>D7*D9*D11</f>
        <v>0</v>
      </c>
      <c r="E13" s="152">
        <f>E7*E9*E11</f>
        <v>0</v>
      </c>
      <c r="F13" s="152">
        <f>F7*F9*F11</f>
        <v>0</v>
      </c>
    </row>
    <row r="14" spans="2:6" ht="25.5" x14ac:dyDescent="0.2">
      <c r="B14" s="170" t="s">
        <v>100</v>
      </c>
      <c r="C14" s="152">
        <f>(C13*C10)/50</f>
        <v>3600</v>
      </c>
      <c r="D14" s="152">
        <f>(D13*D10)/50</f>
        <v>0</v>
      </c>
      <c r="E14" s="152">
        <f>(E13*E10)/50</f>
        <v>0</v>
      </c>
      <c r="F14" s="152">
        <f>(F13*F10)/50</f>
        <v>0</v>
      </c>
    </row>
    <row r="15" spans="2:6" x14ac:dyDescent="0.2">
      <c r="B15" s="170"/>
    </row>
    <row r="16" spans="2:6" x14ac:dyDescent="0.2">
      <c r="B16" s="171" t="s">
        <v>99</v>
      </c>
      <c r="C16" s="152">
        <f>C7*C8*C9*C11</f>
        <v>24000</v>
      </c>
      <c r="D16" s="152">
        <f>D7*D8*D9*D11</f>
        <v>0</v>
      </c>
      <c r="E16" s="152">
        <f>E7*E8*E9*E11</f>
        <v>0</v>
      </c>
      <c r="F16" s="152">
        <f>F7*F8*F9*F11</f>
        <v>0</v>
      </c>
    </row>
    <row r="17" spans="2:6" ht="25.5" x14ac:dyDescent="0.2">
      <c r="B17" s="170" t="s">
        <v>98</v>
      </c>
      <c r="C17" s="152">
        <f>(C16*C10)/50</f>
        <v>14400</v>
      </c>
      <c r="D17" s="152">
        <f>(D16*D10)/50</f>
        <v>0</v>
      </c>
      <c r="E17" s="152">
        <f>(E16*E10)/50</f>
        <v>0</v>
      </c>
      <c r="F17" s="152">
        <f>(F16*F10)/50</f>
        <v>0</v>
      </c>
    </row>
    <row r="18" spans="2:6" x14ac:dyDescent="0.2">
      <c r="B18" s="170"/>
    </row>
    <row r="19" spans="2:6" x14ac:dyDescent="0.2">
      <c r="B19" s="170"/>
    </row>
    <row r="20" spans="2:6" x14ac:dyDescent="0.2">
      <c r="B20" s="170"/>
    </row>
    <row r="23" spans="2:6" ht="25.5" x14ac:dyDescent="0.2">
      <c r="B23" s="170" t="s">
        <v>97</v>
      </c>
      <c r="C23" s="152">
        <f>SUM(C14:F14)</f>
        <v>3600</v>
      </c>
    </row>
    <row r="24" spans="2:6" ht="25.5" x14ac:dyDescent="0.2">
      <c r="B24" s="170" t="s">
        <v>96</v>
      </c>
      <c r="C24" s="152">
        <f>C23/10</f>
        <v>360</v>
      </c>
    </row>
    <row r="26" spans="2:6" ht="25.5" x14ac:dyDescent="0.2">
      <c r="B26" s="170" t="s">
        <v>98</v>
      </c>
      <c r="C26" s="152">
        <f>SUM(C17:F17)</f>
        <v>14400</v>
      </c>
    </row>
    <row r="28" spans="2:6" x14ac:dyDescent="0.2">
      <c r="B28" s="165" t="s">
        <v>95</v>
      </c>
      <c r="C28" s="152">
        <f>(C24*60*50)*(4.2/3600)</f>
        <v>1260</v>
      </c>
    </row>
    <row r="30" spans="2:6" x14ac:dyDescent="0.2">
      <c r="B30" s="165" t="s">
        <v>94</v>
      </c>
      <c r="C30" s="169">
        <f>(C26*50)/860</f>
        <v>837.20930232558135</v>
      </c>
    </row>
    <row r="33" spans="2:9" ht="25.5" x14ac:dyDescent="0.2">
      <c r="B33" s="168" t="s">
        <v>93</v>
      </c>
      <c r="C33" s="152">
        <f>C23</f>
        <v>3600</v>
      </c>
      <c r="D33" s="152">
        <f>ROUNDDOWN(C33,-2)</f>
        <v>3600</v>
      </c>
      <c r="E33" s="152">
        <f>C33-D33</f>
        <v>0</v>
      </c>
      <c r="F33" s="152">
        <f>IF(E33&lt;50,ROUNDDOWN(C33,-2),ROUNDUP(C33,-2))</f>
        <v>3600</v>
      </c>
    </row>
    <row r="34" spans="2:9" ht="42" customHeight="1" x14ac:dyDescent="0.2"/>
    <row r="35" spans="2:9" ht="28.5" customHeight="1" x14ac:dyDescent="0.2">
      <c r="B35" s="168" t="s">
        <v>92</v>
      </c>
      <c r="C35" s="169">
        <f>(((C28-C30)/(4.2/3600))/(60*50))*10</f>
        <v>1207.9734219269103</v>
      </c>
      <c r="D35" s="152">
        <f>ROUNDDOWN(C35,-2)</f>
        <v>1200</v>
      </c>
      <c r="E35" s="169">
        <f>C35-D35</f>
        <v>7.973421926910305</v>
      </c>
      <c r="F35" s="152">
        <f>IF(E35&lt;50,ROUNDDOWN(C35,-2),ROUNDUP(C35,-2))</f>
        <v>1200</v>
      </c>
      <c r="H35" s="168" t="s">
        <v>91</v>
      </c>
      <c r="I35" s="152">
        <f>IF(F35&lt;200,200,IF(AND(C23&gt;529,C30&gt;115,C30&lt;175),F35+200,IF(AND(C30&gt;175,C30&lt;230),F35+400,IF(AND(C30&gt;230),F35+600,"pas de model"))))</f>
        <v>1800</v>
      </c>
    </row>
    <row r="39" spans="2:9" x14ac:dyDescent="0.2">
      <c r="B39" s="165" t="s">
        <v>50</v>
      </c>
    </row>
    <row r="41" spans="2:9" x14ac:dyDescent="0.2">
      <c r="B41" s="165" t="s">
        <v>88</v>
      </c>
      <c r="C41" s="152" t="str">
        <f>IF(C28&lt;96,"F-GSWT(100)",IF(C28&lt;194,"F-GSWT (200)",IF(C28&lt;304,"F-GSWT (300)",IF(C28&lt;372,"F-GSWT (375)",IF(C28&lt;499,"F-GSWT (500)",IF(C28&lt;599,"F-GSWT (600)",IF(C28&lt;699,"F-GSWT (700)",IF(C28&lt;848,"F-GSWT (850)","PAS DE MODELE"))))))))</f>
        <v>PAS DE MODELE</v>
      </c>
    </row>
    <row r="42" spans="2:9" x14ac:dyDescent="0.2">
      <c r="B42" s="165" t="s">
        <v>90</v>
      </c>
      <c r="C42" s="152" t="str">
        <f>IF(C41="PAS DE MODELE","PAS DE MODELE",VLOOKUP(F33,bases!B3:C63,2))</f>
        <v>PAS DE MODELE</v>
      </c>
    </row>
    <row r="45" spans="2:9" x14ac:dyDescent="0.2">
      <c r="B45" s="165" t="s">
        <v>89</v>
      </c>
    </row>
    <row r="47" spans="2:9" x14ac:dyDescent="0.2">
      <c r="B47" s="165" t="s">
        <v>88</v>
      </c>
      <c r="C47" s="152" t="str">
        <f>IF(C30&lt;50,"aqua L (10)",IF(C30&lt;90,"aqua L (16)",IF(C30&lt;115,"aqua L (20)",IF(C30&lt;175,"aqua L (30)",IF(C30&lt;230,"aqua L (40)",IF(C30&lt;275,"aqua L (50)","PAS DE MODELE"))))))</f>
        <v>PAS DE MODELE</v>
      </c>
    </row>
    <row r="48" spans="2:9" x14ac:dyDescent="0.2">
      <c r="B48" s="165" t="s">
        <v>87</v>
      </c>
      <c r="C48" s="152" t="str">
        <f>IF(C47="PAS DE MODELE","PAS DE MODELE",VLOOKUP(I35,bases!E3:F23,2))</f>
        <v>PAS DE MODELE</v>
      </c>
    </row>
    <row r="50" spans="2:8" ht="25.5" x14ac:dyDescent="0.2">
      <c r="B50" s="168" t="s">
        <v>86</v>
      </c>
    </row>
    <row r="52" spans="2:8" x14ac:dyDescent="0.2">
      <c r="B52" s="165" t="s">
        <v>85</v>
      </c>
      <c r="C52" s="152">
        <f>2*C26</f>
        <v>28800</v>
      </c>
      <c r="E52" s="394" t="s">
        <v>84</v>
      </c>
      <c r="F52" s="394"/>
      <c r="G52" s="394"/>
      <c r="H52" s="167">
        <f>1.5*C26</f>
        <v>21600</v>
      </c>
    </row>
    <row r="53" spans="2:8" x14ac:dyDescent="0.2">
      <c r="B53" s="165" t="s">
        <v>83</v>
      </c>
      <c r="C53" s="152">
        <f>CAMPING!H24</f>
        <v>2000</v>
      </c>
    </row>
    <row r="56" spans="2:8" x14ac:dyDescent="0.2">
      <c r="B56" s="167" t="s">
        <v>82</v>
      </c>
      <c r="C56" s="166">
        <f>IF(C53&gt;C26,"ERREUR - Volume Tampon trop important",((H52-C53)*50)/860)</f>
        <v>1139.5348837209303</v>
      </c>
    </row>
    <row r="57" spans="2:8" x14ac:dyDescent="0.2">
      <c r="B57" s="165" t="s">
        <v>81</v>
      </c>
      <c r="C57" s="164">
        <f>(C56/1.16)/40</f>
        <v>24.558941459502812</v>
      </c>
    </row>
  </sheetData>
  <mergeCells count="6">
    <mergeCell ref="E52:G52"/>
    <mergeCell ref="C2:E2"/>
    <mergeCell ref="C5:C6"/>
    <mergeCell ref="D5:D6"/>
    <mergeCell ref="E5:E6"/>
    <mergeCell ref="F5:F6"/>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5:I54"/>
  <sheetViews>
    <sheetView topLeftCell="A19" workbookViewId="0">
      <selection activeCell="D24" sqref="D24"/>
    </sheetView>
  </sheetViews>
  <sheetFormatPr baseColWidth="10" defaultRowHeight="15" x14ac:dyDescent="0.25"/>
  <cols>
    <col min="2" max="2" width="23.7109375" customWidth="1"/>
    <col min="3" max="3" width="14.42578125" customWidth="1"/>
  </cols>
  <sheetData>
    <row r="5" spans="1:4" x14ac:dyDescent="0.25">
      <c r="B5" s="412" t="s">
        <v>74</v>
      </c>
      <c r="C5" s="413"/>
      <c r="D5" s="416">
        <f>CAMPING!B8</f>
        <v>200</v>
      </c>
    </row>
    <row r="6" spans="1:4" x14ac:dyDescent="0.25">
      <c r="B6" s="414"/>
      <c r="C6" s="415"/>
      <c r="D6" s="416"/>
    </row>
    <row r="7" spans="1:4" x14ac:dyDescent="0.25">
      <c r="B7" s="271"/>
      <c r="C7" s="277"/>
    </row>
    <row r="8" spans="1:4" x14ac:dyDescent="0.25">
      <c r="B8" s="228"/>
      <c r="C8" s="228"/>
    </row>
    <row r="9" spans="1:4" x14ac:dyDescent="0.25">
      <c r="A9" s="363" t="s">
        <v>132</v>
      </c>
      <c r="B9" s="355"/>
      <c r="C9" s="355"/>
      <c r="D9">
        <f>CAMPING!E4</f>
        <v>2</v>
      </c>
    </row>
    <row r="11" spans="1:4" x14ac:dyDescent="0.25">
      <c r="B11" s="417" t="s">
        <v>2</v>
      </c>
      <c r="C11" s="418"/>
      <c r="D11" s="284">
        <f>D5*1.07</f>
        <v>214</v>
      </c>
    </row>
    <row r="13" spans="1:4" x14ac:dyDescent="0.25">
      <c r="B13" s="419" t="s">
        <v>163</v>
      </c>
      <c r="C13" s="419"/>
    </row>
    <row r="14" spans="1:4" x14ac:dyDescent="0.25">
      <c r="B14" s="278" t="s">
        <v>2</v>
      </c>
      <c r="C14" s="279"/>
      <c r="D14">
        <f>IF(D9=2,D11,IF(D9=3,D11*1.65,IF(D9=4,D11*2.17,"")))</f>
        <v>214</v>
      </c>
    </row>
    <row r="16" spans="1:4" x14ac:dyDescent="0.25">
      <c r="B16" s="421" t="s">
        <v>16</v>
      </c>
      <c r="C16" s="422"/>
      <c r="D16" s="281">
        <v>50</v>
      </c>
    </row>
    <row r="17" spans="2:9" ht="15" customHeight="1" x14ac:dyDescent="0.25">
      <c r="B17" s="280"/>
      <c r="C17" s="228"/>
      <c r="D17" s="228"/>
    </row>
    <row r="18" spans="2:9" ht="15" customHeight="1" x14ac:dyDescent="0.25">
      <c r="B18" s="282"/>
      <c r="C18" s="283"/>
      <c r="D18" s="420">
        <f>((D14/(4.2/3600))/(60*D16))</f>
        <v>61.142857142857139</v>
      </c>
    </row>
    <row r="19" spans="2:9" x14ac:dyDescent="0.25">
      <c r="B19" s="282" t="s">
        <v>164</v>
      </c>
      <c r="C19" s="283"/>
      <c r="D19" s="420"/>
    </row>
    <row r="21" spans="2:9" x14ac:dyDescent="0.25">
      <c r="B21" s="282"/>
      <c r="C21" s="283"/>
      <c r="D21" s="423">
        <f>D18*10</f>
        <v>611.42857142857133</v>
      </c>
    </row>
    <row r="22" spans="2:9" ht="25.5" x14ac:dyDescent="0.25">
      <c r="B22" s="282" t="s">
        <v>165</v>
      </c>
      <c r="C22" s="283"/>
      <c r="D22" s="423"/>
    </row>
    <row r="24" spans="2:9" ht="25.5" x14ac:dyDescent="0.25">
      <c r="B24" s="282" t="s">
        <v>166</v>
      </c>
      <c r="C24" s="283"/>
      <c r="D24" s="285">
        <f>4*D21</f>
        <v>2445.7142857142853</v>
      </c>
    </row>
    <row r="25" spans="2:9" x14ac:dyDescent="0.25">
      <c r="B25" s="283"/>
      <c r="C25" s="283"/>
      <c r="D25" s="285"/>
    </row>
    <row r="27" spans="2:9" x14ac:dyDescent="0.25">
      <c r="B27" s="424" t="s">
        <v>52</v>
      </c>
      <c r="C27" s="425"/>
      <c r="D27" s="285">
        <f>(D24*50)/860</f>
        <v>142.19269102990032</v>
      </c>
    </row>
    <row r="30" spans="2:9" ht="26.25" x14ac:dyDescent="0.25">
      <c r="B30" s="168" t="s">
        <v>93</v>
      </c>
      <c r="C30" s="164">
        <f>D21</f>
        <v>611.42857142857133</v>
      </c>
      <c r="D30" s="164">
        <f>ROUNDDOWN(C30,-2)</f>
        <v>600</v>
      </c>
      <c r="E30" s="255">
        <f>C30-D30</f>
        <v>11.428571428571331</v>
      </c>
      <c r="F30" s="255">
        <f>IF(E30&lt;50,ROUNDDOWN(C30,-2),ROUNDUP(C30,-2))</f>
        <v>600</v>
      </c>
    </row>
    <row r="32" spans="2:9" ht="77.25" x14ac:dyDescent="0.25">
      <c r="B32" s="168" t="s">
        <v>92</v>
      </c>
      <c r="C32" s="169">
        <f>(((D14-D27)/(4.2/3600))/(60*50))*10</f>
        <v>205.1637399145705</v>
      </c>
      <c r="D32" s="152">
        <f>ROUNDDOWN(C32,-2)</f>
        <v>200</v>
      </c>
      <c r="E32" s="169">
        <f>C32-D32</f>
        <v>5.163739914570499</v>
      </c>
      <c r="F32" s="152">
        <f>IF(E32&lt;50,ROUNDDOWN(C32,-2),ROUNDUP(C32,-2))</f>
        <v>200</v>
      </c>
      <c r="G32" s="152"/>
      <c r="H32" s="168" t="s">
        <v>91</v>
      </c>
      <c r="I32" s="152">
        <f>IF(F32&lt;200,200,IF(AND(C16&gt;529,C25&gt;115,C25&lt;175),F32+200,IF(AND(C25&gt;175,C25&lt;230),F32+400,IF(AND(C25&gt;230),F32+600,F32))))</f>
        <v>200</v>
      </c>
    </row>
    <row r="35" spans="2:8" x14ac:dyDescent="0.25">
      <c r="B35" s="165" t="s">
        <v>50</v>
      </c>
      <c r="C35" s="152"/>
    </row>
    <row r="36" spans="2:8" x14ac:dyDescent="0.25">
      <c r="B36" s="152"/>
      <c r="C36" s="152"/>
    </row>
    <row r="37" spans="2:8" x14ac:dyDescent="0.25">
      <c r="B37" s="165" t="s">
        <v>88</v>
      </c>
      <c r="C37" s="152" t="str">
        <f>IF(D14&lt;96,"F-GSWT(100)",IF(D14&lt;194,"F-GSWT (200)",IF(D14&lt;304,"F-GSWT (300)",IF(D14&lt;372,"F-GSWT (375)",IF(D14&lt;499,"F-GSWT (500)",IF(D142&lt;599,"F-GSWT (600)",IF(D14&lt;699,"F-GSWT (700)",IF(D14&lt;848,"F-GSWT (850)","PAS DE MODELE"))))))))</f>
        <v>F-GSWT (300)</v>
      </c>
    </row>
    <row r="38" spans="2:8" x14ac:dyDescent="0.25">
      <c r="B38" s="165" t="s">
        <v>90</v>
      </c>
      <c r="C38" s="152" t="str">
        <f>IF(C37="PAS DE MODELE","PAS DE MODELE",VLOOKUP(F30,bases!E3:F23,2))</f>
        <v>800 L</v>
      </c>
    </row>
    <row r="39" spans="2:8" x14ac:dyDescent="0.25">
      <c r="B39" s="152"/>
      <c r="C39" s="152"/>
    </row>
    <row r="40" spans="2:8" x14ac:dyDescent="0.25">
      <c r="B40" s="165" t="s">
        <v>89</v>
      </c>
      <c r="C40" s="152"/>
    </row>
    <row r="41" spans="2:8" x14ac:dyDescent="0.25">
      <c r="B41" s="152"/>
      <c r="C41" s="152"/>
    </row>
    <row r="42" spans="2:8" x14ac:dyDescent="0.25">
      <c r="B42" s="165" t="s">
        <v>88</v>
      </c>
      <c r="C42" s="152" t="str">
        <f>IF(D27&lt;50,"aqua L (10)",IF(D27&lt;90,"aqua L (16)",IF(D27&lt;115,"aqua L (20)",IF(D27&lt;175,"aqua L (30)",IF(D27&lt;230,"aqua L (40)",IF(D27&lt;275,"aqua L (50)","PAS DE MODELE"))))))</f>
        <v>aqua L (30)</v>
      </c>
    </row>
    <row r="43" spans="2:8" x14ac:dyDescent="0.25">
      <c r="B43" s="165" t="s">
        <v>87</v>
      </c>
      <c r="C43" s="152" t="str">
        <f>IF(C42="PAS DE MODELE","PAS DE MODELE",VLOOKUP(I32,bases!E3:F23,2))</f>
        <v>200 L</v>
      </c>
    </row>
    <row r="47" spans="2:8" ht="26.25" x14ac:dyDescent="0.25">
      <c r="B47" s="168" t="s">
        <v>86</v>
      </c>
      <c r="C47" s="152"/>
      <c r="D47" s="152"/>
      <c r="E47" s="152"/>
      <c r="F47" s="152"/>
      <c r="G47" s="152"/>
      <c r="H47" s="152"/>
    </row>
    <row r="48" spans="2:8" x14ac:dyDescent="0.25">
      <c r="B48" s="152"/>
      <c r="C48" s="152"/>
      <c r="D48" s="152"/>
      <c r="E48" s="152"/>
      <c r="F48" s="152"/>
      <c r="G48" s="152"/>
      <c r="H48" s="152"/>
    </row>
    <row r="49" spans="2:8" x14ac:dyDescent="0.25">
      <c r="B49" s="165" t="s">
        <v>162</v>
      </c>
      <c r="C49" s="273">
        <f>2*D24</f>
        <v>4891.4285714285706</v>
      </c>
      <c r="D49" s="152"/>
      <c r="E49" s="383" t="s">
        <v>84</v>
      </c>
      <c r="F49" s="383"/>
      <c r="G49" s="383"/>
      <c r="H49" s="276">
        <f>1.5*C23</f>
        <v>0</v>
      </c>
    </row>
    <row r="50" spans="2:8" x14ac:dyDescent="0.25">
      <c r="B50" s="165" t="s">
        <v>83</v>
      </c>
      <c r="C50" s="152">
        <f>CAMPING!H24</f>
        <v>2000</v>
      </c>
      <c r="D50" s="152"/>
      <c r="E50" s="152"/>
      <c r="F50" s="152"/>
      <c r="G50" s="152"/>
      <c r="H50" s="152"/>
    </row>
    <row r="51" spans="2:8" x14ac:dyDescent="0.25">
      <c r="B51" s="152"/>
      <c r="C51" s="152"/>
      <c r="D51" s="152"/>
      <c r="E51" s="152"/>
      <c r="F51" s="152"/>
      <c r="G51" s="152"/>
      <c r="H51" s="152"/>
    </row>
    <row r="52" spans="2:8" x14ac:dyDescent="0.25">
      <c r="B52" s="152"/>
      <c r="C52" s="152"/>
      <c r="D52" s="152"/>
      <c r="E52" s="152"/>
      <c r="F52" s="152"/>
      <c r="G52" s="152"/>
      <c r="H52" s="152"/>
    </row>
    <row r="53" spans="2:8" x14ac:dyDescent="0.25">
      <c r="B53" s="165" t="s">
        <v>82</v>
      </c>
      <c r="C53" s="273">
        <f>IF(C50&gt;C49,"ERREUR - Volume Tampon trop important",((C49-C50)*50)/860)</f>
        <v>168.10631229235875</v>
      </c>
      <c r="D53" s="152"/>
      <c r="E53" s="152"/>
      <c r="F53" s="152"/>
      <c r="G53" s="152"/>
      <c r="H53" s="152"/>
    </row>
    <row r="54" spans="2:8" x14ac:dyDescent="0.25">
      <c r="B54" s="165" t="s">
        <v>81</v>
      </c>
      <c r="C54" s="164">
        <f>(C53/1.16)/40</f>
        <v>3.622980868369801</v>
      </c>
      <c r="D54" s="152"/>
      <c r="E54" s="152"/>
      <c r="F54" s="152"/>
      <c r="G54" s="152"/>
      <c r="H54" s="152"/>
    </row>
  </sheetData>
  <mergeCells count="10">
    <mergeCell ref="B5:C6"/>
    <mergeCell ref="D5:D6"/>
    <mergeCell ref="A9:C9"/>
    <mergeCell ref="E49:G49"/>
    <mergeCell ref="B11:C11"/>
    <mergeCell ref="B13:C13"/>
    <mergeCell ref="D18:D19"/>
    <mergeCell ref="B16:C16"/>
    <mergeCell ref="D21:D22"/>
    <mergeCell ref="B27:C27"/>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16</vt:i4>
      </vt:variant>
    </vt:vector>
  </HeadingPairs>
  <TitlesOfParts>
    <vt:vector size="16" baseType="lpstr">
      <vt:lpstr>RESTAURATION</vt:lpstr>
      <vt:lpstr>calcul restauration</vt:lpstr>
      <vt:lpstr>HOTEL</vt:lpstr>
      <vt:lpstr>calcul hotel</vt:lpstr>
      <vt:lpstr>DOUCHES COLLECTIVES</vt:lpstr>
      <vt:lpstr>calcul douches collectives</vt:lpstr>
      <vt:lpstr>CAMPING</vt:lpstr>
      <vt:lpstr>calcul camping</vt:lpstr>
      <vt:lpstr>calculs camping2</vt:lpstr>
      <vt:lpstr>MAISON DE RETRAITE</vt:lpstr>
      <vt:lpstr>calcul maison de retraite</vt:lpstr>
      <vt:lpstr>bases</vt:lpstr>
      <vt:lpstr>LOGEMENTS COLLECTIFS</vt:lpstr>
      <vt:lpstr>RESULTATS</vt:lpstr>
      <vt:lpstr>calcul</vt:lpstr>
      <vt:lpstr>Feuil1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Soares Roméo</dc:creator>
  <cp:lastModifiedBy>Schneider Arthur</cp:lastModifiedBy>
  <cp:lastPrinted>2019-04-04T07:04:01Z</cp:lastPrinted>
  <dcterms:created xsi:type="dcterms:W3CDTF">2017-02-24T08:09:47Z</dcterms:created>
  <dcterms:modified xsi:type="dcterms:W3CDTF">2020-10-27T15:35:22Z</dcterms:modified>
</cp:coreProperties>
</file>